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ПОДГОТОВКА К СОБРАНИЮ 23 год\Отчетные документы\"/>
    </mc:Choice>
  </mc:AlternateContent>
  <bookViews>
    <workbookView xWindow="0" yWindow="0" windowWidth="19200" windowHeight="11550" activeTab="2"/>
  </bookViews>
  <sheets>
    <sheet name="отчет о поступл. и расх. д.с." sheetId="3" r:id="rId1"/>
    <sheet name="отчет о расх д.с. " sheetId="4" r:id="rId2"/>
    <sheet name="разное" sheetId="6" r:id="rId3"/>
    <sheet name="Лист1" sheetId="7" r:id="rId4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7" l="1"/>
  <c r="Q16" i="4"/>
  <c r="I15" i="6"/>
  <c r="L15" i="6"/>
  <c r="P15" i="6"/>
  <c r="R14" i="4"/>
  <c r="S14" i="4"/>
  <c r="D15" i="4"/>
  <c r="F15" i="4"/>
  <c r="I16" i="6"/>
  <c r="C15" i="4"/>
  <c r="K15" i="4"/>
  <c r="L15" i="4"/>
  <c r="L16" i="6"/>
  <c r="D14" i="4"/>
  <c r="F14" i="4"/>
  <c r="C14" i="4"/>
  <c r="K14" i="4"/>
  <c r="C13" i="4"/>
  <c r="D13" i="4"/>
  <c r="E13" i="4"/>
  <c r="F13" i="4"/>
  <c r="K13" i="4"/>
  <c r="I14" i="6"/>
  <c r="D12" i="4"/>
  <c r="C12" i="4"/>
  <c r="I13" i="6"/>
  <c r="J12" i="4"/>
  <c r="K12" i="4"/>
  <c r="P12" i="4"/>
  <c r="L13" i="6"/>
  <c r="D11" i="4"/>
  <c r="F11" i="4"/>
  <c r="K11" i="4"/>
  <c r="C11" i="4"/>
  <c r="D10" i="4"/>
  <c r="F10" i="4"/>
  <c r="E10" i="4"/>
  <c r="C10" i="4"/>
  <c r="L11" i="6"/>
  <c r="K10" i="4"/>
  <c r="C9" i="4"/>
  <c r="D9" i="4"/>
  <c r="I10" i="6"/>
  <c r="L10" i="6"/>
  <c r="D10" i="6"/>
  <c r="J9" i="4"/>
  <c r="K9" i="4"/>
  <c r="D8" i="4"/>
  <c r="E8" i="4"/>
  <c r="F8" i="4"/>
  <c r="M8" i="4"/>
  <c r="C8" i="4"/>
  <c r="I9" i="6"/>
  <c r="N8" i="4"/>
  <c r="K8" i="4"/>
  <c r="L8" i="4"/>
  <c r="D7" i="4"/>
  <c r="C7" i="4"/>
  <c r="I8" i="6"/>
  <c r="O8" i="6"/>
  <c r="L8" i="6"/>
  <c r="J7" i="4"/>
  <c r="N7" i="4"/>
  <c r="K7" i="4"/>
  <c r="C6" i="4"/>
  <c r="D6" i="4"/>
  <c r="E6" i="4"/>
  <c r="F6" i="4"/>
  <c r="I7" i="6"/>
  <c r="K6" i="4"/>
  <c r="D5" i="4"/>
  <c r="C5" i="4"/>
  <c r="I6" i="6"/>
  <c r="K5" i="4"/>
  <c r="K4" i="4"/>
  <c r="P6" i="6"/>
  <c r="R5" i="4"/>
  <c r="P7" i="6"/>
  <c r="R6" i="4"/>
  <c r="P8" i="6"/>
  <c r="R7" i="4"/>
  <c r="P9" i="6"/>
  <c r="R8" i="4"/>
  <c r="P10" i="6"/>
  <c r="R9" i="4"/>
  <c r="P11" i="6"/>
  <c r="R10" i="4"/>
  <c r="P12" i="6"/>
  <c r="R11" i="4"/>
  <c r="P13" i="6"/>
  <c r="R12" i="4"/>
  <c r="P14" i="6"/>
  <c r="R13" i="4"/>
  <c r="P16" i="6"/>
  <c r="R15" i="4"/>
  <c r="I5" i="6"/>
  <c r="P5" i="6"/>
  <c r="R4" i="4"/>
  <c r="F4" i="4"/>
  <c r="C4" i="4"/>
  <c r="M17" i="6"/>
  <c r="D2" i="3"/>
  <c r="S8" i="4"/>
  <c r="C16" i="4"/>
  <c r="R16" i="4"/>
  <c r="F16" i="4"/>
  <c r="E16" i="4"/>
  <c r="M16" i="4"/>
  <c r="L16" i="4"/>
  <c r="D16" i="4"/>
  <c r="I16" i="4"/>
  <c r="K16" i="4"/>
  <c r="O16" i="4"/>
  <c r="J16" i="4"/>
  <c r="P16" i="4"/>
  <c r="N16" i="4"/>
  <c r="H16" i="4"/>
  <c r="G16" i="4"/>
  <c r="S16" i="4"/>
  <c r="H43" i="3"/>
  <c r="B17" i="6"/>
  <c r="C17" i="6"/>
  <c r="D17" i="6"/>
  <c r="E17" i="6"/>
  <c r="F17" i="6"/>
  <c r="G17" i="6"/>
  <c r="H17" i="6"/>
  <c r="I17" i="6"/>
  <c r="J17" i="6"/>
  <c r="K17" i="6"/>
  <c r="L17" i="6"/>
  <c r="N17" i="6"/>
  <c r="O17" i="6"/>
  <c r="P17" i="6"/>
  <c r="S15" i="4"/>
  <c r="S13" i="4"/>
  <c r="S9" i="4"/>
  <c r="S6" i="4"/>
  <c r="S5" i="4"/>
  <c r="S7" i="4"/>
  <c r="S10" i="4"/>
  <c r="S11" i="4"/>
  <c r="S12" i="4"/>
  <c r="S4" i="4"/>
  <c r="E7" i="3"/>
  <c r="E10" i="3"/>
  <c r="E13" i="3"/>
  <c r="E16" i="3"/>
  <c r="E19" i="3"/>
  <c r="E22" i="3"/>
  <c r="E25" i="3"/>
  <c r="E28" i="3"/>
  <c r="E31" i="3"/>
  <c r="E34" i="3"/>
  <c r="E37" i="3"/>
  <c r="E40" i="3"/>
  <c r="E43" i="3"/>
  <c r="H45" i="3"/>
  <c r="C43" i="3"/>
  <c r="D43" i="3"/>
  <c r="H48" i="3"/>
</calcChain>
</file>

<file path=xl/sharedStrings.xml><?xml version="1.0" encoding="utf-8"?>
<sst xmlns="http://schemas.openxmlformats.org/spreadsheetml/2006/main" count="161" uniqueCount="91">
  <si>
    <t>№ п/п</t>
  </si>
  <si>
    <t>Месяцы</t>
  </si>
  <si>
    <t>Поступило денежных средств</t>
  </si>
  <si>
    <t>№</t>
  </si>
  <si>
    <t>Расходы</t>
  </si>
  <si>
    <t>Сумма</t>
  </si>
  <si>
    <t>от населен.</t>
  </si>
  <si>
    <t>Всего (руб)</t>
  </si>
  <si>
    <t>п/п</t>
  </si>
  <si>
    <t>по статьям</t>
  </si>
  <si>
    <t>(руб.)</t>
  </si>
  <si>
    <t>Сбербанк</t>
  </si>
  <si>
    <t>НДФЛ 13%</t>
  </si>
  <si>
    <t>Итого</t>
  </si>
  <si>
    <t xml:space="preserve"> </t>
  </si>
  <si>
    <t>ИТОГО:</t>
  </si>
  <si>
    <t>Месяц</t>
  </si>
  <si>
    <t>З/п и хоз. нужды</t>
  </si>
  <si>
    <t>итого</t>
  </si>
  <si>
    <t>Л И С Т    1</t>
  </si>
  <si>
    <t>Л И С Т    2</t>
  </si>
  <si>
    <t>Председатель ТСЖ "Собственный"</t>
  </si>
  <si>
    <t>Долгополов И.В.</t>
  </si>
  <si>
    <t>ЖК "Инициатива"</t>
  </si>
  <si>
    <t>ООО "Севзаплифтсервис"</t>
  </si>
  <si>
    <t>ООО "Петербургтеплоэнерго"</t>
  </si>
  <si>
    <t>ООО "СЦ "Эльтон"</t>
  </si>
  <si>
    <t>РАЗНОЕ</t>
  </si>
  <si>
    <t>МЕСЯЦ</t>
  </si>
  <si>
    <t xml:space="preserve">Председатель правления ТСЖ "Собственный"                                                          </t>
  </si>
  <si>
    <t>Расшифровка "РАЗНОЕ"</t>
  </si>
  <si>
    <t>ГУП "Водоканал СПб"</t>
  </si>
  <si>
    <t>в т.ч. пени</t>
  </si>
  <si>
    <t>Налог УСН</t>
  </si>
  <si>
    <t>Телекомпания КТВ</t>
  </si>
  <si>
    <t>ООО "ПСК"</t>
  </si>
  <si>
    <t>ООО "Эллис НТ"</t>
  </si>
  <si>
    <t>л.с. 40703 810 0 5524000 0120</t>
  </si>
  <si>
    <t>Зарплата и хоз.нужды</t>
  </si>
  <si>
    <t>НДФЛ - 13 %</t>
  </si>
  <si>
    <t>Услуги Сбербанка</t>
  </si>
  <si>
    <t>Налоги УСН</t>
  </si>
  <si>
    <t>Расчетно-кассовое обслуживание (кваитанции)</t>
  </si>
  <si>
    <t>Кабельное телевидение</t>
  </si>
  <si>
    <t>Отоплеение, ГВС</t>
  </si>
  <si>
    <t>Обслуживание ПЗУ</t>
  </si>
  <si>
    <t>Электроснабжение МОП</t>
  </si>
  <si>
    <t>Обслуживание УУТЭ</t>
  </si>
  <si>
    <t>ТО лифтов</t>
  </si>
  <si>
    <t>См. расшифровка РАЗНОЕ</t>
  </si>
  <si>
    <t>ЗАО "Инженерный центр "КПЛ"</t>
  </si>
  <si>
    <t>Страх. взносы</t>
  </si>
  <si>
    <t>ООО "Учебный центр "ПЕРСПЕКТИВА"</t>
  </si>
  <si>
    <t>ООО "СеврерСтрой"</t>
  </si>
  <si>
    <t>Водоотведение, водоснабжение</t>
  </si>
  <si>
    <t>Налоги в ФСС, ПФР, ИФНС</t>
  </si>
  <si>
    <t>Вывоз мусора</t>
  </si>
  <si>
    <t>ООО Сатурн СПБ</t>
  </si>
  <si>
    <t>ООО "Аргос Учет"</t>
  </si>
  <si>
    <t>Хоз.товары, строй.товары</t>
  </si>
  <si>
    <t>Программа 1с</t>
  </si>
  <si>
    <t>АО "Невский экологический оператор"</t>
  </si>
  <si>
    <t>ИП Блохин Роман Андреевич</t>
  </si>
  <si>
    <t>ИП Жукаускас Марюс Витауто</t>
  </si>
  <si>
    <t>Остаток на 28.02.2024 г.</t>
  </si>
  <si>
    <t>ОТЧЕТ О РАСХОДОВАНИИ ДЕНЕЖНЫХ СРЕДСТВ ПО ТСЖ "Собственный" за 2023 - 2024 года</t>
  </si>
  <si>
    <t xml:space="preserve">                      Остаток на 01.03.2023 г. - </t>
  </si>
  <si>
    <t>ООО "СеверСтрой"</t>
  </si>
  <si>
    <t>САО "РЕСО-ГАРАНТИЯ"</t>
  </si>
  <si>
    <t>АО "КОМПЛЕКТЭНЕРГОУЧЕТ"</t>
  </si>
  <si>
    <t>\</t>
  </si>
  <si>
    <t xml:space="preserve">ООО "ВСЕИНСТРУМЕНТЫ.РУ"
</t>
  </si>
  <si>
    <t>ООО "СПРУТ"</t>
  </si>
  <si>
    <t>Леруа Мерлен, ПЕТРОВИЧ</t>
  </si>
  <si>
    <t>ИП МОИСЕЕВА А.А.</t>
  </si>
  <si>
    <t>АО "ПФ "СКБ КОНТУР"</t>
  </si>
  <si>
    <t>ООО "КОЛЛЕГИЯ ГРУПП"</t>
  </si>
  <si>
    <t>ООО "Центр Судебных экпертиз северо-западного округа"</t>
  </si>
  <si>
    <t>Электронная сдача отчетности</t>
  </si>
  <si>
    <t>Страхование лифтов</t>
  </si>
  <si>
    <t xml:space="preserve">   Отчет о поступлении и расходовании денежных средств по ТСЖ "Собственный" с 01.03.2023 г. по 29.02.2024 г.</t>
  </si>
  <si>
    <t>Экспертиза по кв.20</t>
  </si>
  <si>
    <t>Ремонт подвального пом. Под офис.</t>
  </si>
  <si>
    <t>Санитарная уборка и обработка кв.81</t>
  </si>
  <si>
    <t>Прочистка канализационного стояка 4 парадной.</t>
  </si>
  <si>
    <t>Тех.освидетельствование лифтов.</t>
  </si>
  <si>
    <t>Обучение по теплу.</t>
  </si>
  <si>
    <t>ЗП за ремонт подъездов.</t>
  </si>
  <si>
    <t>Юридические услуги.</t>
  </si>
  <si>
    <t>Электроинструмент.</t>
  </si>
  <si>
    <t>Счетчик ХВС.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</si>
</sst>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(* #,##0.00_);_(* \(#,##0.00\);_(* \-??_);_(@_)"/>
    <numFmt numFmtId="166" formatCode="[$-419]mmmm\ yyyy;@"/>
  </numFmts>
  <fonts count="18" x14ac:knownFonts="1">
    <font>
      <sz val="10"/>
      <name val="Arial"/>
      <family val="2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Arial"/>
      <family val="2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"/>
      <family val="2"/>
    </font>
    <font>
      <sz val="11"/>
      <name val="Arial"/>
      <family val="2"/>
      <charset val="204"/>
    </font>
    <font>
      <sz val="9.5"/>
      <color rgb="FF333333"/>
      <name val="Lucida Sans Unicode"/>
      <family val="2"/>
      <charset val="204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1E6F2"/>
        <bgColor indexed="64"/>
      </patternFill>
    </fill>
  </fills>
  <borders count="7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7" fillId="0" borderId="0" applyFill="0" applyBorder="0" applyAlignment="0" applyProtection="0"/>
  </cellStyleXfs>
  <cellXfs count="190"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left" vertical="center" wrapText="1"/>
    </xf>
    <xf numFmtId="4" fontId="1" fillId="0" borderId="0" xfId="0" applyNumberFormat="1" applyFont="1"/>
    <xf numFmtId="0" fontId="6" fillId="0" borderId="0" xfId="0" applyFont="1"/>
    <xf numFmtId="4" fontId="6" fillId="0" borderId="0" xfId="0" applyNumberFormat="1" applyFont="1"/>
    <xf numFmtId="4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center"/>
    </xf>
    <xf numFmtId="4" fontId="3" fillId="0" borderId="7" xfId="0" applyNumberFormat="1" applyFont="1" applyBorder="1"/>
    <xf numFmtId="4" fontId="3" fillId="0" borderId="1" xfId="0" applyNumberFormat="1" applyFont="1" applyBorder="1" applyAlignment="1">
      <alignment wrapText="1"/>
    </xf>
    <xf numFmtId="4" fontId="3" fillId="0" borderId="8" xfId="0" applyNumberFormat="1" applyFont="1" applyBorder="1" applyAlignment="1">
      <alignment wrapText="1"/>
    </xf>
    <xf numFmtId="4" fontId="3" fillId="0" borderId="7" xfId="0" applyNumberFormat="1" applyFont="1" applyBorder="1" applyAlignment="1">
      <alignment wrapText="1"/>
    </xf>
    <xf numFmtId="166" fontId="5" fillId="0" borderId="12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wrapText="1"/>
    </xf>
    <xf numFmtId="0" fontId="1" fillId="0" borderId="13" xfId="0" applyFont="1" applyBorder="1"/>
    <xf numFmtId="165" fontId="9" fillId="0" borderId="13" xfId="1" applyFont="1" applyFill="1" applyBorder="1" applyAlignment="1" applyProtection="1">
      <alignment horizontal="center"/>
    </xf>
    <xf numFmtId="4" fontId="3" fillId="0" borderId="14" xfId="0" applyNumberFormat="1" applyFont="1" applyBorder="1" applyAlignment="1">
      <alignment wrapText="1"/>
    </xf>
    <xf numFmtId="4" fontId="3" fillId="0" borderId="9" xfId="0" applyNumberFormat="1" applyFont="1" applyBorder="1" applyAlignment="1">
      <alignment wrapText="1"/>
    </xf>
    <xf numFmtId="0" fontId="2" fillId="2" borderId="0" xfId="0" applyFont="1" applyFill="1"/>
    <xf numFmtId="0" fontId="6" fillId="0" borderId="6" xfId="0" applyFont="1" applyBorder="1"/>
    <xf numFmtId="0" fontId="3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/>
    </xf>
    <xf numFmtId="164" fontId="8" fillId="0" borderId="20" xfId="0" applyNumberFormat="1" applyFont="1" applyBorder="1" applyAlignment="1">
      <alignment horizontal="left" vertical="center"/>
    </xf>
    <xf numFmtId="164" fontId="8" fillId="0" borderId="0" xfId="0" applyNumberFormat="1" applyFont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4" fontId="3" fillId="0" borderId="22" xfId="0" applyNumberFormat="1" applyFont="1" applyBorder="1" applyAlignment="1">
      <alignment wrapText="1"/>
    </xf>
    <xf numFmtId="4" fontId="2" fillId="2" borderId="0" xfId="0" applyNumberFormat="1" applyFont="1" applyFill="1"/>
    <xf numFmtId="0" fontId="2" fillId="2" borderId="31" xfId="0" applyFont="1" applyFill="1" applyBorder="1"/>
    <xf numFmtId="4" fontId="2" fillId="2" borderId="31" xfId="0" applyNumberFormat="1" applyFont="1" applyFill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10" fillId="0" borderId="0" xfId="0" applyFont="1"/>
    <xf numFmtId="0" fontId="2" fillId="0" borderId="36" xfId="0" applyFont="1" applyBorder="1" applyAlignment="1">
      <alignment horizontal="center"/>
    </xf>
    <xf numFmtId="165" fontId="2" fillId="2" borderId="37" xfId="1" applyFont="1" applyFill="1" applyBorder="1" applyAlignment="1" applyProtection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/>
    </xf>
    <xf numFmtId="165" fontId="9" fillId="0" borderId="38" xfId="1" applyFont="1" applyFill="1" applyBorder="1" applyAlignment="1" applyProtection="1">
      <alignment horizontal="center"/>
    </xf>
    <xf numFmtId="0" fontId="9" fillId="0" borderId="7" xfId="0" applyFont="1" applyBorder="1" applyAlignment="1">
      <alignment vertical="center" wrapText="1"/>
    </xf>
    <xf numFmtId="0" fontId="2" fillId="0" borderId="39" xfId="0" applyFont="1" applyBorder="1"/>
    <xf numFmtId="0" fontId="9" fillId="0" borderId="40" xfId="0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165" fontId="9" fillId="0" borderId="13" xfId="1" applyFont="1" applyFill="1" applyBorder="1" applyAlignment="1" applyProtection="1">
      <alignment vertic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left"/>
    </xf>
    <xf numFmtId="0" fontId="9" fillId="0" borderId="44" xfId="1" applyNumberFormat="1" applyFont="1" applyFill="1" applyBorder="1" applyAlignment="1" applyProtection="1">
      <alignment vertical="center"/>
    </xf>
    <xf numFmtId="0" fontId="9" fillId="0" borderId="45" xfId="1" applyNumberFormat="1" applyFont="1" applyFill="1" applyBorder="1" applyAlignment="1" applyProtection="1">
      <alignment vertical="center"/>
    </xf>
    <xf numFmtId="0" fontId="9" fillId="0" borderId="46" xfId="1" applyNumberFormat="1" applyFont="1" applyFill="1" applyBorder="1" applyAlignment="1" applyProtection="1">
      <alignment horizontal="center" vertical="center"/>
    </xf>
    <xf numFmtId="4" fontId="3" fillId="0" borderId="9" xfId="0" applyNumberFormat="1" applyFont="1" applyBorder="1"/>
    <xf numFmtId="0" fontId="3" fillId="0" borderId="3" xfId="0" applyFont="1" applyBorder="1" applyAlignment="1">
      <alignment horizontal="center" vertical="center" wrapText="1"/>
    </xf>
    <xf numFmtId="4" fontId="4" fillId="0" borderId="28" xfId="0" applyNumberFormat="1" applyFont="1" applyBorder="1" applyAlignment="1">
      <alignment wrapText="1"/>
    </xf>
    <xf numFmtId="0" fontId="1" fillId="0" borderId="0" xfId="0" applyFont="1" applyAlignment="1">
      <alignment horizontal="right"/>
    </xf>
    <xf numFmtId="4" fontId="3" fillId="0" borderId="48" xfId="0" applyNumberFormat="1" applyFont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0" fontId="12" fillId="0" borderId="50" xfId="0" applyFont="1" applyBorder="1" applyAlignment="1">
      <alignment horizontal="left"/>
    </xf>
    <xf numFmtId="0" fontId="9" fillId="0" borderId="14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2" fillId="0" borderId="0" xfId="0" applyFont="1"/>
    <xf numFmtId="0" fontId="9" fillId="0" borderId="2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4" fontId="4" fillId="0" borderId="53" xfId="0" applyNumberFormat="1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" fontId="3" fillId="0" borderId="0" xfId="0" applyNumberFormat="1" applyFont="1"/>
    <xf numFmtId="2" fontId="3" fillId="0" borderId="0" xfId="0" applyNumberFormat="1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15" fillId="0" borderId="0" xfId="0" applyFont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5" borderId="0" xfId="0" applyFont="1" applyFill="1" applyAlignment="1">
      <alignment horizontal="right" vertical="center"/>
    </xf>
    <xf numFmtId="0" fontId="9" fillId="0" borderId="21" xfId="0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4" fontId="3" fillId="0" borderId="49" xfId="0" applyNumberFormat="1" applyFont="1" applyBorder="1" applyAlignment="1">
      <alignment wrapText="1"/>
    </xf>
    <xf numFmtId="166" fontId="13" fillId="0" borderId="2" xfId="0" applyNumberFormat="1" applyFont="1" applyFill="1" applyBorder="1" applyAlignment="1">
      <alignment horizontal="left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horizontal="right" vertical="center" wrapText="1"/>
    </xf>
    <xf numFmtId="4" fontId="3" fillId="0" borderId="9" xfId="0" applyNumberFormat="1" applyFont="1" applyFill="1" applyBorder="1"/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wrapText="1"/>
    </xf>
    <xf numFmtId="4" fontId="3" fillId="0" borderId="27" xfId="0" applyNumberFormat="1" applyFont="1" applyFill="1" applyBorder="1" applyAlignment="1">
      <alignment wrapText="1"/>
    </xf>
    <xf numFmtId="4" fontId="3" fillId="0" borderId="7" xfId="0" applyNumberFormat="1" applyFont="1" applyFill="1" applyBorder="1" applyAlignment="1">
      <alignment wrapText="1"/>
    </xf>
    <xf numFmtId="4" fontId="3" fillId="0" borderId="22" xfId="0" applyNumberFormat="1" applyFont="1" applyFill="1" applyBorder="1" applyAlignment="1">
      <alignment wrapText="1"/>
    </xf>
    <xf numFmtId="4" fontId="3" fillId="0" borderId="9" xfId="0" applyNumberFormat="1" applyFont="1" applyFill="1" applyBorder="1" applyAlignment="1">
      <alignment wrapText="1"/>
    </xf>
    <xf numFmtId="4" fontId="4" fillId="0" borderId="28" xfId="0" applyNumberFormat="1" applyFont="1" applyFill="1" applyBorder="1" applyAlignment="1">
      <alignment wrapText="1"/>
    </xf>
    <xf numFmtId="166" fontId="5" fillId="0" borderId="2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wrapText="1"/>
    </xf>
    <xf numFmtId="4" fontId="3" fillId="0" borderId="8" xfId="0" applyNumberFormat="1" applyFont="1" applyFill="1" applyBorder="1" applyAlignment="1">
      <alignment wrapText="1"/>
    </xf>
    <xf numFmtId="166" fontId="13" fillId="0" borderId="12" xfId="0" applyNumberFormat="1" applyFont="1" applyFill="1" applyBorder="1" applyAlignment="1">
      <alignment horizontal="left" vertical="center" wrapText="1"/>
    </xf>
    <xf numFmtId="4" fontId="13" fillId="0" borderId="9" xfId="0" applyNumberFormat="1" applyFont="1" applyFill="1" applyBorder="1" applyAlignment="1">
      <alignment horizontal="right" vertical="center" wrapText="1"/>
    </xf>
    <xf numFmtId="4" fontId="3" fillId="0" borderId="7" xfId="0" applyNumberFormat="1" applyFont="1" applyFill="1" applyBorder="1"/>
    <xf numFmtId="4" fontId="3" fillId="0" borderId="14" xfId="0" applyNumberFormat="1" applyFont="1" applyFill="1" applyBorder="1" applyAlignment="1">
      <alignment wrapText="1"/>
    </xf>
    <xf numFmtId="4" fontId="3" fillId="0" borderId="48" xfId="0" applyNumberFormat="1" applyFont="1" applyFill="1" applyBorder="1" applyAlignment="1">
      <alignment wrapText="1"/>
    </xf>
    <xf numFmtId="4" fontId="3" fillId="0" borderId="49" xfId="0" applyNumberFormat="1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wrapText="1"/>
    </xf>
    <xf numFmtId="0" fontId="8" fillId="0" borderId="0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6" fontId="5" fillId="0" borderId="10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wrapText="1"/>
    </xf>
    <xf numFmtId="4" fontId="3" fillId="0" borderId="11" xfId="0" applyNumberFormat="1" applyFont="1" applyFill="1" applyBorder="1"/>
    <xf numFmtId="4" fontId="4" fillId="0" borderId="51" xfId="0" applyNumberFormat="1" applyFont="1" applyFill="1" applyBorder="1" applyAlignment="1">
      <alignment wrapText="1"/>
    </xf>
    <xf numFmtId="4" fontId="3" fillId="0" borderId="68" xfId="0" applyNumberFormat="1" applyFont="1" applyFill="1" applyBorder="1" applyAlignment="1">
      <alignment wrapText="1"/>
    </xf>
    <xf numFmtId="4" fontId="3" fillId="0" borderId="68" xfId="0" applyNumberFormat="1" applyFont="1" applyFill="1" applyBorder="1"/>
    <xf numFmtId="0" fontId="11" fillId="3" borderId="71" xfId="0" applyFont="1" applyFill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9" fillId="0" borderId="73" xfId="0" applyFont="1" applyBorder="1" applyAlignment="1">
      <alignment horizontal="left" vertical="center" wrapText="1"/>
    </xf>
    <xf numFmtId="4" fontId="17" fillId="0" borderId="74" xfId="0" applyNumberFormat="1" applyFont="1" applyBorder="1"/>
    <xf numFmtId="4" fontId="17" fillId="0" borderId="13" xfId="0" applyNumberFormat="1" applyFont="1" applyBorder="1"/>
    <xf numFmtId="4" fontId="17" fillId="0" borderId="75" xfId="0" applyNumberFormat="1" applyFont="1" applyBorder="1"/>
    <xf numFmtId="4" fontId="17" fillId="0" borderId="75" xfId="0" applyNumberFormat="1" applyFont="1" applyBorder="1" applyAlignment="1">
      <alignment horizontal="right" vertical="center" wrapText="1"/>
    </xf>
    <xf numFmtId="4" fontId="9" fillId="0" borderId="35" xfId="0" applyNumberFormat="1" applyFont="1" applyBorder="1" applyAlignment="1">
      <alignment horizontal="right" vertical="center" wrapText="1"/>
    </xf>
    <xf numFmtId="4" fontId="9" fillId="0" borderId="76" xfId="0" applyNumberFormat="1" applyFont="1" applyBorder="1" applyAlignment="1">
      <alignment horizontal="right" vertical="center" wrapText="1"/>
    </xf>
    <xf numFmtId="4" fontId="10" fillId="0" borderId="75" xfId="0" applyNumberFormat="1" applyFont="1" applyBorder="1"/>
    <xf numFmtId="4" fontId="10" fillId="0" borderId="13" xfId="0" applyNumberFormat="1" applyFont="1" applyBorder="1"/>
    <xf numFmtId="0" fontId="4" fillId="0" borderId="22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" fillId="0" borderId="24" xfId="0" applyFont="1" applyFill="1" applyBorder="1"/>
    <xf numFmtId="0" fontId="13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1" fillId="0" borderId="7" xfId="0" applyFont="1" applyFill="1" applyBorder="1"/>
    <xf numFmtId="166" fontId="13" fillId="0" borderId="32" xfId="0" applyNumberFormat="1" applyFont="1" applyFill="1" applyBorder="1" applyAlignment="1">
      <alignment horizontal="left" vertical="center" wrapText="1"/>
    </xf>
    <xf numFmtId="4" fontId="3" fillId="0" borderId="11" xfId="0" applyNumberFormat="1" applyFont="1" applyFill="1" applyBorder="1" applyAlignment="1">
      <alignment horizontal="right" vertical="center" wrapText="1"/>
    </xf>
    <xf numFmtId="4" fontId="3" fillId="0" borderId="11" xfId="0" applyNumberFormat="1" applyFont="1" applyFill="1" applyBorder="1" applyAlignment="1">
      <alignment horizontal="right"/>
    </xf>
    <xf numFmtId="4" fontId="1" fillId="0" borderId="0" xfId="0" applyNumberFormat="1" applyFont="1" applyFill="1"/>
    <xf numFmtId="4" fontId="3" fillId="0" borderId="47" xfId="0" applyNumberFormat="1" applyFont="1" applyFill="1" applyBorder="1"/>
    <xf numFmtId="4" fontId="4" fillId="0" borderId="47" xfId="0" applyNumberFormat="1" applyFont="1" applyFill="1" applyBorder="1"/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9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66" fontId="13" fillId="0" borderId="70" xfId="0" applyNumberFormat="1" applyFont="1" applyFill="1" applyBorder="1" applyAlignment="1">
      <alignment horizontal="left" vertical="center" wrapText="1"/>
    </xf>
    <xf numFmtId="0" fontId="3" fillId="0" borderId="68" xfId="0" applyFont="1" applyFill="1" applyBorder="1"/>
    <xf numFmtId="166" fontId="13" fillId="0" borderId="77" xfId="0" applyNumberFormat="1" applyFont="1" applyFill="1" applyBorder="1" applyAlignment="1">
      <alignment horizontal="left" vertical="center" wrapText="1"/>
    </xf>
    <xf numFmtId="4" fontId="9" fillId="4" borderId="52" xfId="0" applyNumberFormat="1" applyFont="1" applyFill="1" applyBorder="1" applyAlignment="1">
      <alignment horizontal="center" vertical="center"/>
    </xf>
    <xf numFmtId="4" fontId="9" fillId="4" borderId="54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6" fontId="2" fillId="0" borderId="56" xfId="0" applyNumberFormat="1" applyFont="1" applyBorder="1" applyAlignment="1">
      <alignment horizontal="left" vertical="center"/>
    </xf>
    <xf numFmtId="166" fontId="2" fillId="0" borderId="52" xfId="0" applyNumberFormat="1" applyFont="1" applyBorder="1" applyAlignment="1">
      <alignment horizontal="left" vertical="center"/>
    </xf>
    <xf numFmtId="166" fontId="2" fillId="0" borderId="54" xfId="0" applyNumberFormat="1" applyFont="1" applyBorder="1" applyAlignment="1">
      <alignment horizontal="left" vertical="center"/>
    </xf>
    <xf numFmtId="4" fontId="9" fillId="0" borderId="57" xfId="0" applyNumberFormat="1" applyFont="1" applyBorder="1" applyAlignment="1">
      <alignment horizontal="center" vertical="center"/>
    </xf>
    <xf numFmtId="4" fontId="9" fillId="0" borderId="52" xfId="0" applyNumberFormat="1" applyFont="1" applyBorder="1" applyAlignment="1">
      <alignment horizontal="center" vertical="center"/>
    </xf>
    <xf numFmtId="4" fontId="9" fillId="0" borderId="54" xfId="0" applyNumberFormat="1" applyFont="1" applyBorder="1" applyAlignment="1">
      <alignment horizontal="center" vertical="center"/>
    </xf>
    <xf numFmtId="0" fontId="11" fillId="3" borderId="58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2" fillId="2" borderId="62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166" fontId="2" fillId="0" borderId="55" xfId="0" applyNumberFormat="1" applyFont="1" applyBorder="1" applyAlignment="1">
      <alignment horizontal="left" vertical="center"/>
    </xf>
    <xf numFmtId="4" fontId="9" fillId="0" borderId="56" xfId="0" applyNumberFormat="1" applyFont="1" applyBorder="1" applyAlignment="1">
      <alignment horizontal="center" vertical="center"/>
    </xf>
    <xf numFmtId="4" fontId="9" fillId="4" borderId="55" xfId="0" applyNumberFormat="1" applyFont="1" applyFill="1" applyBorder="1" applyAlignment="1">
      <alignment horizontal="center" vertical="center"/>
    </xf>
    <xf numFmtId="0" fontId="2" fillId="0" borderId="6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8" fillId="0" borderId="66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opLeftCell="A33" zoomScale="90" zoomScaleNormal="90" workbookViewId="0">
      <selection activeCell="D43" sqref="D43"/>
    </sheetView>
  </sheetViews>
  <sheetFormatPr defaultColWidth="8.85546875" defaultRowHeight="12.75" x14ac:dyDescent="0.2"/>
  <cols>
    <col min="1" max="1" width="4.7109375" customWidth="1"/>
    <col min="2" max="2" width="16.7109375" customWidth="1"/>
    <col min="3" max="3" width="21.28515625" customWidth="1"/>
    <col min="4" max="4" width="13.28515625" customWidth="1"/>
    <col min="5" max="5" width="24.42578125" customWidth="1"/>
    <col min="6" max="6" width="4.42578125" customWidth="1"/>
    <col min="7" max="7" width="47" customWidth="1"/>
    <col min="8" max="8" width="20.7109375" customWidth="1"/>
  </cols>
  <sheetData>
    <row r="1" spans="1:9" ht="18.75" x14ac:dyDescent="0.3">
      <c r="A1" s="158" t="s">
        <v>80</v>
      </c>
      <c r="B1" s="158"/>
      <c r="C1" s="158"/>
      <c r="D1" s="158"/>
      <c r="E1" s="158"/>
      <c r="F1" s="158"/>
      <c r="G1" s="158"/>
      <c r="H1" s="158"/>
    </row>
    <row r="2" spans="1:9" ht="17.25" customHeight="1" thickBot="1" x14ac:dyDescent="0.3">
      <c r="A2" s="23" t="s">
        <v>66</v>
      </c>
      <c r="B2" s="36"/>
      <c r="C2" s="36"/>
      <c r="D2" s="37">
        <f>SUM(D3:D3)</f>
        <v>763609.53999999911</v>
      </c>
      <c r="E2" s="23"/>
      <c r="F2" s="1"/>
      <c r="G2" s="1"/>
      <c r="H2" s="1"/>
    </row>
    <row r="3" spans="1:9" ht="17.25" customHeight="1" thickTop="1" thickBot="1" x14ac:dyDescent="0.3">
      <c r="A3" s="35"/>
      <c r="B3" s="35" t="s">
        <v>37</v>
      </c>
      <c r="C3" s="35"/>
      <c r="D3" s="35">
        <v>763609.53999999911</v>
      </c>
      <c r="E3" s="23"/>
      <c r="F3" s="1"/>
      <c r="G3" s="1"/>
      <c r="H3" s="1"/>
    </row>
    <row r="4" spans="1:9" ht="12.95" customHeight="1" thickBot="1" x14ac:dyDescent="0.25">
      <c r="A4" s="159" t="s">
        <v>0</v>
      </c>
      <c r="B4" s="160" t="s">
        <v>1</v>
      </c>
      <c r="C4" s="172" t="s">
        <v>2</v>
      </c>
      <c r="D4" s="173"/>
      <c r="E4" s="173"/>
      <c r="F4" s="38" t="s">
        <v>3</v>
      </c>
      <c r="G4" s="38" t="s">
        <v>4</v>
      </c>
      <c r="H4" s="25" t="s">
        <v>5</v>
      </c>
    </row>
    <row r="5" spans="1:9" ht="18.75" customHeight="1" thickBot="1" x14ac:dyDescent="0.3">
      <c r="A5" s="159"/>
      <c r="B5" s="161"/>
      <c r="C5" s="169" t="s">
        <v>37</v>
      </c>
      <c r="D5" s="170"/>
      <c r="E5" s="171"/>
      <c r="F5" s="39"/>
      <c r="G5" s="123" t="s">
        <v>37</v>
      </c>
      <c r="H5" s="26"/>
      <c r="I5" s="40"/>
    </row>
    <row r="6" spans="1:9" ht="15.75" thickBot="1" x14ac:dyDescent="0.25">
      <c r="A6" s="159"/>
      <c r="B6" s="161"/>
      <c r="C6" s="27" t="s">
        <v>6</v>
      </c>
      <c r="D6" s="28" t="s">
        <v>32</v>
      </c>
      <c r="E6" s="29" t="s">
        <v>7</v>
      </c>
      <c r="F6" s="39" t="s">
        <v>8</v>
      </c>
      <c r="G6" s="124" t="s">
        <v>9</v>
      </c>
      <c r="H6" s="125" t="s">
        <v>10</v>
      </c>
    </row>
    <row r="7" spans="1:9" ht="15.75" customHeight="1" thickBot="1" x14ac:dyDescent="0.3">
      <c r="A7" s="162">
        <v>1</v>
      </c>
      <c r="B7" s="163">
        <v>44986</v>
      </c>
      <c r="C7" s="166">
        <v>896528.74</v>
      </c>
      <c r="D7" s="156">
        <v>963.31</v>
      </c>
      <c r="E7" s="174">
        <f>C7</f>
        <v>896528.74</v>
      </c>
      <c r="F7" s="48">
        <v>1</v>
      </c>
      <c r="G7" s="126" t="s">
        <v>11</v>
      </c>
      <c r="H7" s="127">
        <v>34184.160000000003</v>
      </c>
    </row>
    <row r="8" spans="1:9" ht="15.75" customHeight="1" thickBot="1" x14ac:dyDescent="0.3">
      <c r="A8" s="162"/>
      <c r="B8" s="164"/>
      <c r="C8" s="167"/>
      <c r="D8" s="156"/>
      <c r="E8" s="175"/>
      <c r="F8" s="49">
        <v>2</v>
      </c>
      <c r="G8" s="43" t="s">
        <v>17</v>
      </c>
      <c r="H8" s="128">
        <v>1287547.8600000001</v>
      </c>
    </row>
    <row r="9" spans="1:9" ht="15.75" customHeight="1" thickBot="1" x14ac:dyDescent="0.3">
      <c r="A9" s="162"/>
      <c r="B9" s="165"/>
      <c r="C9" s="168"/>
      <c r="D9" s="157"/>
      <c r="E9" s="175"/>
      <c r="F9" s="49">
        <v>3</v>
      </c>
      <c r="G9" s="43" t="s">
        <v>12</v>
      </c>
      <c r="H9" s="129">
        <v>181879</v>
      </c>
    </row>
    <row r="10" spans="1:9" ht="15.75" customHeight="1" thickBot="1" x14ac:dyDescent="0.3">
      <c r="A10" s="162">
        <v>2</v>
      </c>
      <c r="B10" s="176">
        <v>45018</v>
      </c>
      <c r="C10" s="177">
        <v>862737.56</v>
      </c>
      <c r="D10" s="178">
        <v>602.15</v>
      </c>
      <c r="E10" s="174">
        <f>C10</f>
        <v>862737.56</v>
      </c>
      <c r="F10" s="49">
        <v>4</v>
      </c>
      <c r="G10" s="43" t="s">
        <v>51</v>
      </c>
      <c r="H10" s="129">
        <v>433491.61</v>
      </c>
    </row>
    <row r="11" spans="1:9" ht="15.75" customHeight="1" thickBot="1" x14ac:dyDescent="0.3">
      <c r="A11" s="162"/>
      <c r="B11" s="176"/>
      <c r="C11" s="167"/>
      <c r="D11" s="178"/>
      <c r="E11" s="175"/>
      <c r="F11" s="49">
        <v>5</v>
      </c>
      <c r="G11" s="43" t="s">
        <v>33</v>
      </c>
      <c r="H11" s="129">
        <v>14517</v>
      </c>
    </row>
    <row r="12" spans="1:9" ht="15.75" customHeight="1" thickBot="1" x14ac:dyDescent="0.3">
      <c r="A12" s="162"/>
      <c r="B12" s="176"/>
      <c r="C12" s="168"/>
      <c r="D12" s="178"/>
      <c r="E12" s="175"/>
      <c r="F12" s="49">
        <v>6</v>
      </c>
      <c r="G12" s="43" t="s">
        <v>36</v>
      </c>
      <c r="H12" s="129">
        <v>39000</v>
      </c>
    </row>
    <row r="13" spans="1:9" ht="15.75" customHeight="1" thickBot="1" x14ac:dyDescent="0.3">
      <c r="A13" s="162">
        <v>3</v>
      </c>
      <c r="B13" s="176">
        <v>45050</v>
      </c>
      <c r="C13" s="177">
        <v>766326.98</v>
      </c>
      <c r="D13" s="178">
        <v>714.03</v>
      </c>
      <c r="E13" s="174">
        <f>C13</f>
        <v>766326.98</v>
      </c>
      <c r="F13" s="49">
        <v>7</v>
      </c>
      <c r="G13" s="43" t="s">
        <v>34</v>
      </c>
      <c r="H13" s="129">
        <v>190350</v>
      </c>
    </row>
    <row r="14" spans="1:9" ht="15.75" customHeight="1" thickBot="1" x14ac:dyDescent="0.3">
      <c r="A14" s="162"/>
      <c r="B14" s="176"/>
      <c r="C14" s="167"/>
      <c r="D14" s="178"/>
      <c r="E14" s="175"/>
      <c r="F14" s="49">
        <v>8</v>
      </c>
      <c r="G14" s="43" t="s">
        <v>25</v>
      </c>
      <c r="H14" s="129">
        <v>3558736.69</v>
      </c>
    </row>
    <row r="15" spans="1:9" ht="15.75" customHeight="1" thickBot="1" x14ac:dyDescent="0.3">
      <c r="A15" s="162"/>
      <c r="B15" s="176"/>
      <c r="C15" s="168"/>
      <c r="D15" s="178"/>
      <c r="E15" s="175"/>
      <c r="F15" s="49">
        <v>9</v>
      </c>
      <c r="G15" s="43" t="s">
        <v>31</v>
      </c>
      <c r="H15" s="129">
        <v>949962.12999999989</v>
      </c>
    </row>
    <row r="16" spans="1:9" ht="15.75" customHeight="1" thickBot="1" x14ac:dyDescent="0.3">
      <c r="A16" s="162">
        <v>4</v>
      </c>
      <c r="B16" s="176">
        <v>45082</v>
      </c>
      <c r="C16" s="177">
        <v>679468.16</v>
      </c>
      <c r="D16" s="178">
        <v>940.84</v>
      </c>
      <c r="E16" s="174">
        <f>C16</f>
        <v>679468.16</v>
      </c>
      <c r="F16" s="49">
        <v>10</v>
      </c>
      <c r="G16" s="43" t="s">
        <v>35</v>
      </c>
      <c r="H16" s="129">
        <v>73846.37999999999</v>
      </c>
    </row>
    <row r="17" spans="1:8" ht="15.75" customHeight="1" thickBot="1" x14ac:dyDescent="0.3">
      <c r="A17" s="162"/>
      <c r="B17" s="176"/>
      <c r="C17" s="167"/>
      <c r="D17" s="178"/>
      <c r="E17" s="175"/>
      <c r="F17" s="49">
        <v>11</v>
      </c>
      <c r="G17" s="43" t="s">
        <v>67</v>
      </c>
      <c r="H17" s="129">
        <v>73000</v>
      </c>
    </row>
    <row r="18" spans="1:8" ht="15.75" customHeight="1" thickBot="1" x14ac:dyDescent="0.3">
      <c r="A18" s="162"/>
      <c r="B18" s="176"/>
      <c r="C18" s="168"/>
      <c r="D18" s="178"/>
      <c r="E18" s="175"/>
      <c r="F18" s="49">
        <v>12</v>
      </c>
      <c r="G18" s="43" t="s">
        <v>61</v>
      </c>
      <c r="H18" s="129">
        <v>923476.99999999977</v>
      </c>
    </row>
    <row r="19" spans="1:8" ht="15.75" customHeight="1" thickBot="1" x14ac:dyDescent="0.3">
      <c r="A19" s="162">
        <v>5</v>
      </c>
      <c r="B19" s="176">
        <v>45114</v>
      </c>
      <c r="C19" s="177">
        <v>615521.55000000005</v>
      </c>
      <c r="D19" s="178">
        <v>3030.51</v>
      </c>
      <c r="E19" s="174">
        <f>C19</f>
        <v>615521.55000000005</v>
      </c>
      <c r="F19" s="49">
        <v>13</v>
      </c>
      <c r="G19" s="43" t="s">
        <v>24</v>
      </c>
      <c r="H19" s="129">
        <v>538000</v>
      </c>
    </row>
    <row r="20" spans="1:8" ht="15.75" customHeight="1" thickBot="1" x14ac:dyDescent="0.3">
      <c r="A20" s="162"/>
      <c r="B20" s="176"/>
      <c r="C20" s="167"/>
      <c r="D20" s="178"/>
      <c r="E20" s="175"/>
      <c r="F20" s="49">
        <v>14</v>
      </c>
      <c r="G20" s="43" t="s">
        <v>26</v>
      </c>
      <c r="H20" s="129">
        <v>30754.1</v>
      </c>
    </row>
    <row r="21" spans="1:8" ht="15.75" customHeight="1" thickBot="1" x14ac:dyDescent="0.3">
      <c r="A21" s="162"/>
      <c r="B21" s="176"/>
      <c r="C21" s="168"/>
      <c r="D21" s="178"/>
      <c r="E21" s="175"/>
      <c r="F21" s="49">
        <v>15</v>
      </c>
      <c r="G21" s="43" t="s">
        <v>77</v>
      </c>
      <c r="H21" s="129">
        <v>30000</v>
      </c>
    </row>
    <row r="22" spans="1:8" ht="15.75" customHeight="1" thickBot="1" x14ac:dyDescent="0.3">
      <c r="A22" s="162">
        <v>6</v>
      </c>
      <c r="B22" s="176">
        <v>45146</v>
      </c>
      <c r="C22" s="177">
        <v>535057.51</v>
      </c>
      <c r="D22" s="178">
        <v>1424.13</v>
      </c>
      <c r="E22" s="174">
        <f>C22</f>
        <v>535057.51</v>
      </c>
      <c r="F22" s="49">
        <v>16</v>
      </c>
      <c r="G22" s="43" t="s">
        <v>27</v>
      </c>
      <c r="H22" s="129">
        <v>955164.1</v>
      </c>
    </row>
    <row r="23" spans="1:8" ht="15.75" customHeight="1" thickBot="1" x14ac:dyDescent="0.3">
      <c r="A23" s="162"/>
      <c r="B23" s="176"/>
      <c r="C23" s="167"/>
      <c r="D23" s="178"/>
      <c r="E23" s="175"/>
      <c r="F23" s="49">
        <v>17</v>
      </c>
      <c r="G23" s="43"/>
      <c r="H23" s="130"/>
    </row>
    <row r="24" spans="1:8" ht="15.75" customHeight="1" thickBot="1" x14ac:dyDescent="0.3">
      <c r="A24" s="162"/>
      <c r="B24" s="176"/>
      <c r="C24" s="168"/>
      <c r="D24" s="178"/>
      <c r="E24" s="175"/>
      <c r="F24" s="49">
        <v>18</v>
      </c>
      <c r="G24" s="43"/>
      <c r="H24" s="131"/>
    </row>
    <row r="25" spans="1:8" ht="15.75" customHeight="1" thickBot="1" x14ac:dyDescent="0.3">
      <c r="A25" s="162">
        <v>7</v>
      </c>
      <c r="B25" s="176">
        <v>45178</v>
      </c>
      <c r="C25" s="177">
        <v>573681.48</v>
      </c>
      <c r="D25" s="178">
        <v>3008.78</v>
      </c>
      <c r="E25" s="174">
        <f>C25</f>
        <v>573681.48</v>
      </c>
      <c r="F25" s="49">
        <v>19</v>
      </c>
      <c r="G25" s="43"/>
      <c r="H25" s="132"/>
    </row>
    <row r="26" spans="1:8" ht="15.75" customHeight="1" thickBot="1" x14ac:dyDescent="0.3">
      <c r="A26" s="162"/>
      <c r="B26" s="176"/>
      <c r="C26" s="167"/>
      <c r="D26" s="178"/>
      <c r="E26" s="175"/>
      <c r="F26" s="49">
        <v>20</v>
      </c>
      <c r="G26" s="43"/>
      <c r="H26" s="132"/>
    </row>
    <row r="27" spans="1:8" ht="15" customHeight="1" thickBot="1" x14ac:dyDescent="0.3">
      <c r="A27" s="162"/>
      <c r="B27" s="176"/>
      <c r="C27" s="168"/>
      <c r="D27" s="178"/>
      <c r="E27" s="175"/>
      <c r="F27" s="49">
        <v>21</v>
      </c>
      <c r="G27" s="44"/>
      <c r="H27" s="132"/>
    </row>
    <row r="28" spans="1:8" ht="15.75" customHeight="1" thickBot="1" x14ac:dyDescent="0.3">
      <c r="A28" s="162">
        <v>8</v>
      </c>
      <c r="B28" s="176">
        <v>45210</v>
      </c>
      <c r="C28" s="177">
        <v>595286.09</v>
      </c>
      <c r="D28" s="178">
        <v>22817.47</v>
      </c>
      <c r="E28" s="174">
        <f>C28</f>
        <v>595286.09</v>
      </c>
      <c r="F28" s="49">
        <v>22</v>
      </c>
      <c r="G28" s="43"/>
      <c r="H28" s="133"/>
    </row>
    <row r="29" spans="1:8" ht="15.75" customHeight="1" thickBot="1" x14ac:dyDescent="0.3">
      <c r="A29" s="162"/>
      <c r="B29" s="176"/>
      <c r="C29" s="167"/>
      <c r="D29" s="178"/>
      <c r="E29" s="175"/>
      <c r="F29" s="49">
        <v>23</v>
      </c>
      <c r="G29" s="43"/>
      <c r="H29" s="133"/>
    </row>
    <row r="30" spans="1:8" ht="15.75" customHeight="1" thickBot="1" x14ac:dyDescent="0.3">
      <c r="A30" s="162"/>
      <c r="B30" s="176"/>
      <c r="C30" s="168"/>
      <c r="D30" s="178"/>
      <c r="E30" s="175"/>
      <c r="F30" s="49"/>
      <c r="G30" s="43"/>
      <c r="H30" s="133"/>
    </row>
    <row r="31" spans="1:8" ht="15.75" customHeight="1" thickBot="1" x14ac:dyDescent="0.3">
      <c r="A31" s="162">
        <v>9</v>
      </c>
      <c r="B31" s="176">
        <v>45242</v>
      </c>
      <c r="C31" s="177">
        <v>717972.27</v>
      </c>
      <c r="D31" s="178">
        <v>2370.16</v>
      </c>
      <c r="E31" s="174">
        <f>C31</f>
        <v>717972.27</v>
      </c>
      <c r="F31" s="49"/>
      <c r="G31" s="62"/>
      <c r="H31" s="134"/>
    </row>
    <row r="32" spans="1:8" ht="15.75" customHeight="1" thickBot="1" x14ac:dyDescent="0.3">
      <c r="A32" s="162"/>
      <c r="B32" s="176"/>
      <c r="C32" s="167"/>
      <c r="D32" s="178"/>
      <c r="E32" s="175"/>
      <c r="F32" s="49"/>
      <c r="G32" s="46"/>
      <c r="H32" s="50"/>
    </row>
    <row r="33" spans="1:8" ht="15.75" customHeight="1" thickBot="1" x14ac:dyDescent="0.25">
      <c r="A33" s="162"/>
      <c r="B33" s="176"/>
      <c r="C33" s="168"/>
      <c r="D33" s="178"/>
      <c r="E33" s="175"/>
      <c r="F33" s="55"/>
      <c r="G33" s="46"/>
      <c r="H33" s="50"/>
    </row>
    <row r="34" spans="1:8" ht="15.75" customHeight="1" thickBot="1" x14ac:dyDescent="0.25">
      <c r="A34" s="162">
        <v>10</v>
      </c>
      <c r="B34" s="176">
        <v>45274</v>
      </c>
      <c r="C34" s="177">
        <v>948911.83</v>
      </c>
      <c r="D34" s="178">
        <v>5115.54</v>
      </c>
      <c r="E34" s="174">
        <f>C34</f>
        <v>948911.83</v>
      </c>
      <c r="F34" s="53"/>
      <c r="G34" s="46"/>
      <c r="H34" s="50"/>
    </row>
    <row r="35" spans="1:8" ht="15.75" customHeight="1" thickBot="1" x14ac:dyDescent="0.25">
      <c r="A35" s="162"/>
      <c r="B35" s="176"/>
      <c r="C35" s="167"/>
      <c r="D35" s="178"/>
      <c r="E35" s="175"/>
      <c r="F35" s="54"/>
      <c r="G35" s="46"/>
      <c r="H35" s="50"/>
    </row>
    <row r="36" spans="1:8" ht="15.75" customHeight="1" thickBot="1" x14ac:dyDescent="0.3">
      <c r="A36" s="162"/>
      <c r="B36" s="176"/>
      <c r="C36" s="168"/>
      <c r="D36" s="178"/>
      <c r="E36" s="175"/>
      <c r="F36" s="49"/>
      <c r="G36" s="43"/>
      <c r="H36" s="19"/>
    </row>
    <row r="37" spans="1:8" ht="15.75" customHeight="1" thickBot="1" x14ac:dyDescent="0.3">
      <c r="A37" s="162">
        <v>11</v>
      </c>
      <c r="B37" s="176">
        <v>45306</v>
      </c>
      <c r="C37" s="177">
        <v>844410.78</v>
      </c>
      <c r="D37" s="178">
        <v>1579.23</v>
      </c>
      <c r="E37" s="174">
        <f>C37</f>
        <v>844410.78</v>
      </c>
      <c r="F37" s="49"/>
      <c r="G37" s="43"/>
      <c r="H37" s="20"/>
    </row>
    <row r="38" spans="1:8" ht="15.75" customHeight="1" thickBot="1" x14ac:dyDescent="0.3">
      <c r="A38" s="162"/>
      <c r="B38" s="176"/>
      <c r="C38" s="167"/>
      <c r="D38" s="178"/>
      <c r="E38" s="175"/>
      <c r="F38" s="49"/>
      <c r="G38" s="44"/>
      <c r="H38" s="20"/>
    </row>
    <row r="39" spans="1:8" ht="15.75" customHeight="1" thickBot="1" x14ac:dyDescent="0.3">
      <c r="A39" s="162"/>
      <c r="B39" s="176"/>
      <c r="C39" s="168"/>
      <c r="D39" s="178"/>
      <c r="E39" s="175"/>
      <c r="F39" s="49"/>
      <c r="G39" s="44"/>
      <c r="H39" s="20"/>
    </row>
    <row r="40" spans="1:8" ht="15.75" customHeight="1" thickBot="1" x14ac:dyDescent="0.3">
      <c r="A40" s="162">
        <v>12</v>
      </c>
      <c r="B40" s="176">
        <v>45338</v>
      </c>
      <c r="C40" s="177">
        <v>986328.6</v>
      </c>
      <c r="D40" s="178">
        <v>506.44</v>
      </c>
      <c r="E40" s="174">
        <f>C40</f>
        <v>986328.6</v>
      </c>
      <c r="F40" s="49"/>
      <c r="G40" s="44"/>
      <c r="H40" s="20"/>
    </row>
    <row r="41" spans="1:8" ht="15.75" customHeight="1" thickBot="1" x14ac:dyDescent="0.3">
      <c r="A41" s="162"/>
      <c r="B41" s="176"/>
      <c r="C41" s="167"/>
      <c r="D41" s="178"/>
      <c r="E41" s="175"/>
      <c r="F41" s="49"/>
      <c r="G41" s="44"/>
      <c r="H41" s="20"/>
    </row>
    <row r="42" spans="1:8" ht="15.75" customHeight="1" thickBot="1" x14ac:dyDescent="0.3">
      <c r="A42" s="162"/>
      <c r="B42" s="176"/>
      <c r="C42" s="168"/>
      <c r="D42" s="178"/>
      <c r="E42" s="175"/>
      <c r="F42" s="51"/>
      <c r="G42" s="52"/>
      <c r="H42" s="45"/>
    </row>
    <row r="43" spans="1:8" ht="16.5" thickBot="1" x14ac:dyDescent="0.3">
      <c r="A43" s="179" t="s">
        <v>13</v>
      </c>
      <c r="B43" s="179"/>
      <c r="C43" s="10">
        <f>SUM(C7:C42)</f>
        <v>9022231.5500000007</v>
      </c>
      <c r="D43" s="10">
        <f>SUM(D7:D42)</f>
        <v>43072.590000000011</v>
      </c>
      <c r="E43" s="11">
        <f>SUM(E7:E42)</f>
        <v>9022231.5500000007</v>
      </c>
      <c r="F43" s="47" t="s">
        <v>14</v>
      </c>
      <c r="G43" s="41" t="s">
        <v>15</v>
      </c>
      <c r="H43" s="42">
        <f>'отчет о расх д.с. '!S16</f>
        <v>9313910.0299999993</v>
      </c>
    </row>
    <row r="44" spans="1:8" ht="17.25" customHeight="1" x14ac:dyDescent="0.3">
      <c r="A44" s="2"/>
      <c r="B44" s="3"/>
      <c r="C44" s="3"/>
      <c r="D44" s="3"/>
      <c r="E44" s="24"/>
    </row>
    <row r="45" spans="1:8" ht="17.25" customHeight="1" thickBot="1" x14ac:dyDescent="0.35">
      <c r="A45" s="2"/>
      <c r="B45" s="3"/>
      <c r="C45" s="3"/>
      <c r="D45" s="3"/>
      <c r="E45" s="8"/>
      <c r="F45" s="8"/>
      <c r="G45" s="9" t="s">
        <v>37</v>
      </c>
      <c r="H45" s="31">
        <f>D3+E43-H43</f>
        <v>471931.06000000052</v>
      </c>
    </row>
    <row r="46" spans="1:8" ht="10.5" customHeight="1" x14ac:dyDescent="0.3">
      <c r="A46" s="2"/>
      <c r="B46" s="3"/>
      <c r="C46" s="3"/>
      <c r="D46" s="3"/>
      <c r="E46" s="8"/>
      <c r="F46" s="8"/>
      <c r="G46" s="9"/>
      <c r="H46" s="32"/>
    </row>
    <row r="47" spans="1:8" ht="13.5" customHeight="1" thickBot="1" x14ac:dyDescent="0.3">
      <c r="F47" s="4"/>
      <c r="H47" s="2"/>
    </row>
    <row r="48" spans="1:8" ht="18.75" x14ac:dyDescent="0.3">
      <c r="A48" s="2"/>
      <c r="B48" s="2"/>
      <c r="C48" s="2"/>
      <c r="D48" s="2"/>
      <c r="E48" s="2"/>
      <c r="F48" s="30" t="s">
        <v>64</v>
      </c>
      <c r="G48" s="30"/>
      <c r="H48" s="12">
        <f>H45</f>
        <v>471931.06000000052</v>
      </c>
    </row>
    <row r="49" spans="1:8" x14ac:dyDescent="0.2">
      <c r="A49" s="2"/>
      <c r="B49" s="2"/>
      <c r="C49" s="2"/>
      <c r="D49" s="2"/>
      <c r="E49" s="2"/>
      <c r="F49" s="2"/>
      <c r="G49" s="2"/>
      <c r="H49" s="2"/>
    </row>
    <row r="50" spans="1:8" x14ac:dyDescent="0.2">
      <c r="A50" s="2"/>
      <c r="B50" s="2"/>
      <c r="C50" s="2"/>
      <c r="D50" s="2"/>
      <c r="E50" s="2"/>
      <c r="F50" s="2"/>
      <c r="G50" s="2"/>
      <c r="H50" s="2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ht="15.75" x14ac:dyDescent="0.25">
      <c r="A52" s="2"/>
      <c r="B52" s="180" t="s">
        <v>29</v>
      </c>
      <c r="C52" s="180"/>
      <c r="D52" s="180"/>
      <c r="E52" s="180"/>
      <c r="F52" s="2"/>
      <c r="G52" s="4" t="s">
        <v>22</v>
      </c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54" spans="1:8" x14ac:dyDescent="0.2">
      <c r="A54" s="2"/>
      <c r="B54" s="2"/>
      <c r="C54" s="2"/>
      <c r="D54" s="2"/>
      <c r="E54" s="2"/>
      <c r="F54" s="2"/>
      <c r="G54" s="2"/>
      <c r="H54" s="2"/>
    </row>
    <row r="55" spans="1:8" x14ac:dyDescent="0.2">
      <c r="A55" s="2"/>
      <c r="B55" s="2"/>
      <c r="C55" s="2"/>
      <c r="D55" s="2"/>
      <c r="E55" s="2"/>
      <c r="F55" s="2"/>
      <c r="G55" s="2"/>
      <c r="H55" s="2"/>
    </row>
    <row r="56" spans="1:8" x14ac:dyDescent="0.2">
      <c r="A56" s="2"/>
      <c r="B56" s="2"/>
      <c r="C56" s="2"/>
      <c r="D56" s="2"/>
      <c r="E56" s="2"/>
      <c r="F56" s="2"/>
      <c r="G56" s="2"/>
      <c r="H56" s="2"/>
    </row>
    <row r="57" spans="1:8" x14ac:dyDescent="0.2">
      <c r="A57" s="2"/>
      <c r="B57" s="2"/>
      <c r="C57" s="2"/>
      <c r="D57" s="2"/>
      <c r="E57" s="2"/>
      <c r="F57" s="2"/>
      <c r="G57" s="2"/>
      <c r="H57" s="2"/>
    </row>
    <row r="58" spans="1:8" x14ac:dyDescent="0.2">
      <c r="A58" s="2"/>
      <c r="B58" s="2"/>
      <c r="C58" s="2"/>
      <c r="D58" s="2"/>
      <c r="E58" s="2"/>
      <c r="F58" s="2"/>
      <c r="G58" s="2"/>
      <c r="H58" s="2"/>
    </row>
    <row r="59" spans="1:8" x14ac:dyDescent="0.2">
      <c r="A59" s="2"/>
      <c r="B59" s="2"/>
      <c r="C59" s="2"/>
      <c r="D59" s="2"/>
      <c r="E59" s="2"/>
      <c r="F59" s="2"/>
      <c r="G59" s="2"/>
      <c r="H59" s="2"/>
    </row>
    <row r="60" spans="1:8" x14ac:dyDescent="0.2">
      <c r="A60" s="2"/>
      <c r="B60" s="2"/>
      <c r="C60" s="2"/>
      <c r="D60" s="2"/>
      <c r="E60" s="2"/>
      <c r="F60" s="2"/>
      <c r="G60" s="2"/>
      <c r="H60" s="2"/>
    </row>
  </sheetData>
  <mergeCells count="67">
    <mergeCell ref="B52:E52"/>
    <mergeCell ref="E37:E39"/>
    <mergeCell ref="E40:E42"/>
    <mergeCell ref="D37:D39"/>
    <mergeCell ref="D40:D42"/>
    <mergeCell ref="C37:C39"/>
    <mergeCell ref="A34:A36"/>
    <mergeCell ref="B34:B36"/>
    <mergeCell ref="C34:C36"/>
    <mergeCell ref="A43:B43"/>
    <mergeCell ref="A40:A42"/>
    <mergeCell ref="B40:B42"/>
    <mergeCell ref="C40:C42"/>
    <mergeCell ref="A37:A39"/>
    <mergeCell ref="B37:B39"/>
    <mergeCell ref="E22:E24"/>
    <mergeCell ref="E31:E33"/>
    <mergeCell ref="E25:E27"/>
    <mergeCell ref="E28:E30"/>
    <mergeCell ref="D34:D36"/>
    <mergeCell ref="D25:D27"/>
    <mergeCell ref="D28:D30"/>
    <mergeCell ref="D31:D33"/>
    <mergeCell ref="E34:E36"/>
    <mergeCell ref="D22:D24"/>
    <mergeCell ref="A28:A30"/>
    <mergeCell ref="B28:B30"/>
    <mergeCell ref="C28:C30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16:A18"/>
    <mergeCell ref="B16:B18"/>
    <mergeCell ref="C16:C18"/>
    <mergeCell ref="E16:E18"/>
    <mergeCell ref="D16:D18"/>
    <mergeCell ref="A19:A21"/>
    <mergeCell ref="B19:B21"/>
    <mergeCell ref="C19:C21"/>
    <mergeCell ref="E19:E21"/>
    <mergeCell ref="D19:D21"/>
    <mergeCell ref="A10:A12"/>
    <mergeCell ref="B10:B12"/>
    <mergeCell ref="C10:C12"/>
    <mergeCell ref="E10:E12"/>
    <mergeCell ref="D10:D12"/>
    <mergeCell ref="A13:A15"/>
    <mergeCell ref="B13:B15"/>
    <mergeCell ref="C13:C15"/>
    <mergeCell ref="E13:E15"/>
    <mergeCell ref="D13:D15"/>
    <mergeCell ref="D7:D9"/>
    <mergeCell ref="A1:H1"/>
    <mergeCell ref="A4:A6"/>
    <mergeCell ref="B4:B6"/>
    <mergeCell ref="A7:A9"/>
    <mergeCell ref="B7:B9"/>
    <mergeCell ref="C7:C9"/>
    <mergeCell ref="C5:E5"/>
    <mergeCell ref="C4:E4"/>
    <mergeCell ref="E7:E9"/>
  </mergeCells>
  <phoneticPr fontId="0" type="noConversion"/>
  <pageMargins left="0.39370078740157483" right="0.39370078740157483" top="0.19685039370078741" bottom="0.19685039370078741" header="0.51181102362204722" footer="0.51181102362204722"/>
  <pageSetup paperSize="9" scale="68" orientation="landscape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4"/>
  <sheetViews>
    <sheetView topLeftCell="F7" zoomScale="90" zoomScaleNormal="90" zoomScalePageLayoutView="125" workbookViewId="0">
      <pane xSplit="24960" topLeftCell="S1"/>
      <selection activeCell="Q26" sqref="Q26"/>
      <selection pane="topRight" activeCell="S13" sqref="S13"/>
    </sheetView>
  </sheetViews>
  <sheetFormatPr defaultColWidth="8.85546875" defaultRowHeight="12.75" x14ac:dyDescent="0.2"/>
  <cols>
    <col min="1" max="1" width="7.7109375" customWidth="1"/>
    <col min="2" max="2" width="14.140625" customWidth="1"/>
    <col min="3" max="3" width="12.42578125" customWidth="1"/>
    <col min="4" max="4" width="12" customWidth="1"/>
    <col min="5" max="5" width="11.85546875" customWidth="1"/>
    <col min="6" max="6" width="12" customWidth="1"/>
    <col min="7" max="7" width="12.28515625" customWidth="1"/>
    <col min="8" max="8" width="11" customWidth="1"/>
    <col min="9" max="9" width="12.85546875" customWidth="1"/>
    <col min="10" max="10" width="12.28515625" customWidth="1"/>
    <col min="11" max="11" width="13.42578125" customWidth="1"/>
    <col min="12" max="12" width="12.85546875" customWidth="1"/>
    <col min="13" max="13" width="14.140625" customWidth="1"/>
    <col min="14" max="14" width="15.140625" customWidth="1"/>
    <col min="15" max="15" width="13.42578125" customWidth="1"/>
    <col min="16" max="16" width="11" customWidth="1"/>
    <col min="17" max="17" width="19" customWidth="1"/>
    <col min="18" max="18" width="12.85546875" customWidth="1"/>
    <col min="19" max="19" width="15.42578125" customWidth="1"/>
  </cols>
  <sheetData>
    <row r="1" spans="1:19" ht="32.25" customHeight="1" thickBot="1" x14ac:dyDescent="0.25">
      <c r="A1" s="186" t="s">
        <v>65</v>
      </c>
      <c r="B1" s="186"/>
      <c r="C1" s="186"/>
      <c r="D1" s="186"/>
      <c r="E1" s="186"/>
      <c r="F1" s="186"/>
      <c r="G1" s="186"/>
      <c r="H1" s="182"/>
      <c r="I1" s="182"/>
      <c r="J1" s="182"/>
      <c r="K1" s="182"/>
      <c r="L1" s="186"/>
      <c r="M1" s="186"/>
      <c r="N1" s="186"/>
      <c r="O1" s="186"/>
      <c r="P1" s="186"/>
      <c r="Q1" s="112"/>
      <c r="R1" s="182"/>
      <c r="S1" s="182"/>
    </row>
    <row r="2" spans="1:19" s="69" customFormat="1" ht="63.75" thickBot="1" x14ac:dyDescent="0.25">
      <c r="A2" s="65" t="s">
        <v>0</v>
      </c>
      <c r="B2" s="66" t="s">
        <v>16</v>
      </c>
      <c r="C2" s="65" t="s">
        <v>11</v>
      </c>
      <c r="D2" s="65" t="s">
        <v>17</v>
      </c>
      <c r="E2" s="65" t="s">
        <v>12</v>
      </c>
      <c r="F2" s="65" t="s">
        <v>51</v>
      </c>
      <c r="G2" s="65" t="s">
        <v>33</v>
      </c>
      <c r="H2" s="67" t="s">
        <v>36</v>
      </c>
      <c r="I2" s="67" t="s">
        <v>34</v>
      </c>
      <c r="J2" s="67" t="s">
        <v>25</v>
      </c>
      <c r="K2" s="67" t="s">
        <v>31</v>
      </c>
      <c r="L2" s="66" t="s">
        <v>35</v>
      </c>
      <c r="M2" s="65" t="s">
        <v>67</v>
      </c>
      <c r="N2" s="65" t="s">
        <v>61</v>
      </c>
      <c r="O2" s="65" t="s">
        <v>24</v>
      </c>
      <c r="P2" s="113" t="s">
        <v>26</v>
      </c>
      <c r="Q2" s="115" t="s">
        <v>77</v>
      </c>
      <c r="R2" s="67" t="s">
        <v>27</v>
      </c>
      <c r="S2" s="68" t="s">
        <v>15</v>
      </c>
    </row>
    <row r="3" spans="1:19" ht="16.5" thickBot="1" x14ac:dyDescent="0.25">
      <c r="A3" s="70"/>
      <c r="B3" s="71"/>
      <c r="C3" s="72">
        <v>1</v>
      </c>
      <c r="D3" s="73">
        <v>2</v>
      </c>
      <c r="E3" s="72">
        <v>3</v>
      </c>
      <c r="F3" s="73">
        <v>4</v>
      </c>
      <c r="G3" s="72">
        <v>5</v>
      </c>
      <c r="H3" s="73">
        <v>6</v>
      </c>
      <c r="I3" s="72">
        <v>7</v>
      </c>
      <c r="J3" s="73">
        <v>8</v>
      </c>
      <c r="K3" s="72">
        <v>9</v>
      </c>
      <c r="L3" s="73">
        <v>10</v>
      </c>
      <c r="M3" s="72">
        <v>11</v>
      </c>
      <c r="N3" s="73">
        <v>12</v>
      </c>
      <c r="O3" s="72">
        <v>13</v>
      </c>
      <c r="P3" s="73">
        <v>14</v>
      </c>
      <c r="Q3" s="114">
        <v>15</v>
      </c>
      <c r="R3" s="73">
        <v>16</v>
      </c>
      <c r="S3" s="72"/>
    </row>
    <row r="4" spans="1:19" ht="17.25" customHeight="1" x14ac:dyDescent="0.2">
      <c r="A4" s="57">
        <v>1</v>
      </c>
      <c r="B4" s="17">
        <v>44986</v>
      </c>
      <c r="C4" s="18">
        <f>2100+82.22+8+259+37+70</f>
        <v>2556.2199999999998</v>
      </c>
      <c r="D4" s="61">
        <v>97222</v>
      </c>
      <c r="E4" s="56">
        <v>14528</v>
      </c>
      <c r="F4" s="56">
        <f>223.5+33748.5</f>
        <v>33972</v>
      </c>
      <c r="G4" s="56">
        <v>14517</v>
      </c>
      <c r="H4" s="22"/>
      <c r="I4" s="22">
        <v>15750</v>
      </c>
      <c r="J4" s="22">
        <v>469469.79</v>
      </c>
      <c r="K4" s="22">
        <f>25397.5+52326.02</f>
        <v>77723.51999999999</v>
      </c>
      <c r="L4" s="18">
        <v>4936.3599999999997</v>
      </c>
      <c r="M4" s="61">
        <v>3000</v>
      </c>
      <c r="N4" s="56">
        <v>77134.97</v>
      </c>
      <c r="O4" s="56">
        <v>35000</v>
      </c>
      <c r="P4" s="56"/>
      <c r="Q4" s="56"/>
      <c r="R4" s="56">
        <f>разное!P5</f>
        <v>178916.4</v>
      </c>
      <c r="S4" s="58">
        <f t="shared" ref="S4:S16" si="0">SUM(C4:R4)</f>
        <v>1024726.26</v>
      </c>
    </row>
    <row r="5" spans="1:19" ht="17.25" customHeight="1" x14ac:dyDescent="0.2">
      <c r="A5" s="5">
        <v>2</v>
      </c>
      <c r="B5" s="6">
        <v>45018</v>
      </c>
      <c r="C5" s="21">
        <f>2100+102.35+8+259+70+37+20.08</f>
        <v>2596.4299999999998</v>
      </c>
      <c r="D5" s="60">
        <f>1025+20080+3000+95291</f>
        <v>119396</v>
      </c>
      <c r="E5" s="34"/>
      <c r="F5" s="34"/>
      <c r="G5" s="34"/>
      <c r="H5" s="16"/>
      <c r="I5" s="22">
        <v>15750</v>
      </c>
      <c r="J5" s="22">
        <v>439487.91</v>
      </c>
      <c r="K5" s="16">
        <f>25397.5+52326.02</f>
        <v>77723.51999999999</v>
      </c>
      <c r="L5" s="21">
        <v>6000</v>
      </c>
      <c r="M5" s="60">
        <v>3000</v>
      </c>
      <c r="N5" s="34">
        <v>77134.97</v>
      </c>
      <c r="O5" s="56">
        <v>35000</v>
      </c>
      <c r="P5" s="34"/>
      <c r="Q5" s="88"/>
      <c r="R5" s="56">
        <f>разное!P6</f>
        <v>84588.4</v>
      </c>
      <c r="S5" s="58">
        <f t="shared" si="0"/>
        <v>860677.23</v>
      </c>
    </row>
    <row r="6" spans="1:19" ht="17.25" customHeight="1" x14ac:dyDescent="0.2">
      <c r="A6" s="5">
        <v>3</v>
      </c>
      <c r="B6" s="17">
        <v>45050</v>
      </c>
      <c r="C6" s="13">
        <f>2100+135.29+16+296+70+8</f>
        <v>2625.29</v>
      </c>
      <c r="D6" s="13">
        <f>5000+92220</f>
        <v>97220</v>
      </c>
      <c r="E6" s="16">
        <f>17239+13780</f>
        <v>31019</v>
      </c>
      <c r="F6" s="34">
        <f>265.22+39783+212+31800</f>
        <v>72060.22</v>
      </c>
      <c r="G6" s="16"/>
      <c r="H6" s="13">
        <v>15000</v>
      </c>
      <c r="I6" s="22">
        <v>15750</v>
      </c>
      <c r="J6" s="16">
        <v>366159</v>
      </c>
      <c r="K6" s="16">
        <f>25397.5+52326.02</f>
        <v>77723.51999999999</v>
      </c>
      <c r="L6" s="21">
        <v>6000</v>
      </c>
      <c r="M6" s="13">
        <v>3000</v>
      </c>
      <c r="N6" s="34">
        <v>77134.97</v>
      </c>
      <c r="O6" s="56">
        <v>35000</v>
      </c>
      <c r="P6" s="16">
        <v>11377</v>
      </c>
      <c r="Q6" s="22"/>
      <c r="R6" s="56">
        <f>разное!P7</f>
        <v>84024</v>
      </c>
      <c r="S6" s="58">
        <f t="shared" si="0"/>
        <v>894093</v>
      </c>
    </row>
    <row r="7" spans="1:19" ht="17.25" customHeight="1" x14ac:dyDescent="0.2">
      <c r="A7" s="5">
        <v>4</v>
      </c>
      <c r="B7" s="6">
        <v>45082</v>
      </c>
      <c r="C7" s="16">
        <f>37+2100+37+37+132.22+37+8+222+70+111+37+35.99+7.94</f>
        <v>2872.1499999999996</v>
      </c>
      <c r="D7" s="16">
        <f>8000+7198+1587+116712.32</f>
        <v>133497.32</v>
      </c>
      <c r="E7" s="16"/>
      <c r="F7" s="34"/>
      <c r="G7" s="16"/>
      <c r="H7" s="13"/>
      <c r="I7" s="22">
        <v>15900</v>
      </c>
      <c r="J7" s="16">
        <f>217959.82</f>
        <v>217959.82</v>
      </c>
      <c r="K7" s="16">
        <f>52326.02+25397.5</f>
        <v>77723.51999999999</v>
      </c>
      <c r="L7" s="16"/>
      <c r="M7" s="13">
        <v>3000</v>
      </c>
      <c r="N7" s="34">
        <f>77134.97</f>
        <v>77134.97</v>
      </c>
      <c r="O7" s="34">
        <v>35000</v>
      </c>
      <c r="P7" s="16"/>
      <c r="Q7" s="22"/>
      <c r="R7" s="56">
        <f>разное!P8</f>
        <v>211041.38999999998</v>
      </c>
      <c r="S7" s="58">
        <f t="shared" si="0"/>
        <v>774129.17</v>
      </c>
    </row>
    <row r="8" spans="1:19" s="93" customFormat="1" ht="17.25" customHeight="1" x14ac:dyDescent="0.2">
      <c r="A8" s="94">
        <v>5</v>
      </c>
      <c r="B8" s="95">
        <v>45114</v>
      </c>
      <c r="C8" s="96">
        <f>2100+74+116.71+70+8+296+37</f>
        <v>2701.71</v>
      </c>
      <c r="D8" s="97">
        <f>5277+73163.24</f>
        <v>78440.240000000005</v>
      </c>
      <c r="E8" s="98">
        <f>17440+10932</f>
        <v>28372</v>
      </c>
      <c r="F8" s="99">
        <f>268.3+40245+168.19+25228.57</f>
        <v>65910.06</v>
      </c>
      <c r="G8" s="100"/>
      <c r="H8" s="98"/>
      <c r="I8" s="100">
        <v>15900</v>
      </c>
      <c r="J8" s="98">
        <v>77910.66</v>
      </c>
      <c r="K8" s="98">
        <f>541.5+8235.69+25598+54429.98</f>
        <v>88805.170000000013</v>
      </c>
      <c r="L8" s="98">
        <f>6000+6000</f>
        <v>12000</v>
      </c>
      <c r="M8" s="98">
        <f>3000+37000</f>
        <v>40000</v>
      </c>
      <c r="N8" s="99">
        <f>77134.97</f>
        <v>77134.97</v>
      </c>
      <c r="O8" s="99">
        <v>35000</v>
      </c>
      <c r="P8" s="98"/>
      <c r="Q8" s="100"/>
      <c r="R8" s="92">
        <f>разное!P9</f>
        <v>37124.5</v>
      </c>
      <c r="S8" s="101">
        <f t="shared" si="0"/>
        <v>559299.31000000006</v>
      </c>
    </row>
    <row r="9" spans="1:19" s="93" customFormat="1" ht="17.25" customHeight="1" x14ac:dyDescent="0.2">
      <c r="A9" s="94">
        <v>6</v>
      </c>
      <c r="B9" s="102">
        <v>45146</v>
      </c>
      <c r="C9" s="103">
        <f>2100+73.16+8+259+70+74+37+148.63</f>
        <v>2769.79</v>
      </c>
      <c r="D9" s="104">
        <f>148630.23</f>
        <v>148630.23000000001</v>
      </c>
      <c r="E9" s="98"/>
      <c r="F9" s="98"/>
      <c r="G9" s="98"/>
      <c r="H9" s="98"/>
      <c r="I9" s="100">
        <v>15900</v>
      </c>
      <c r="J9" s="98">
        <f>66762.47</f>
        <v>66762.47</v>
      </c>
      <c r="K9" s="98">
        <f>25593+55391.71</f>
        <v>80984.709999999992</v>
      </c>
      <c r="L9" s="98">
        <v>10000</v>
      </c>
      <c r="M9" s="98">
        <v>3000</v>
      </c>
      <c r="N9" s="98">
        <v>77134.97</v>
      </c>
      <c r="O9" s="99">
        <v>35000</v>
      </c>
      <c r="P9" s="98"/>
      <c r="Q9" s="100"/>
      <c r="R9" s="92">
        <f>разное!P10</f>
        <v>251728.81</v>
      </c>
      <c r="S9" s="101">
        <f t="shared" si="0"/>
        <v>691910.98</v>
      </c>
    </row>
    <row r="10" spans="1:19" s="93" customFormat="1" ht="17.25" customHeight="1" x14ac:dyDescent="0.2">
      <c r="A10" s="94">
        <v>7</v>
      </c>
      <c r="B10" s="95">
        <v>45178</v>
      </c>
      <c r="C10" s="96">
        <f>2100+8+8+70+296+8+78.54+2500+37</f>
        <v>5105.54</v>
      </c>
      <c r="D10" s="97">
        <f>1774.99+9424+2339+1226+2717+1550+74404.81</f>
        <v>93435.799999999988</v>
      </c>
      <c r="E10" s="92">
        <f>22208+11119</f>
        <v>33327</v>
      </c>
      <c r="F10" s="92">
        <f>265.79+39868.73+37039.88</f>
        <v>77174.399999999994</v>
      </c>
      <c r="G10" s="92"/>
      <c r="H10" s="100">
        <v>12000</v>
      </c>
      <c r="I10" s="100">
        <v>15900</v>
      </c>
      <c r="J10" s="100">
        <v>80000</v>
      </c>
      <c r="K10" s="100">
        <f>26689.62+56503.33</f>
        <v>83192.95</v>
      </c>
      <c r="L10" s="98">
        <v>3608.39</v>
      </c>
      <c r="M10" s="98">
        <v>3000</v>
      </c>
      <c r="N10" s="98">
        <v>77134.97</v>
      </c>
      <c r="O10" s="99">
        <v>35000</v>
      </c>
      <c r="P10" s="107">
        <v>10000</v>
      </c>
      <c r="Q10" s="92"/>
      <c r="R10" s="92">
        <f>разное!P11</f>
        <v>43541.1</v>
      </c>
      <c r="S10" s="101">
        <f t="shared" si="0"/>
        <v>572420.15</v>
      </c>
    </row>
    <row r="11" spans="1:19" s="93" customFormat="1" ht="17.25" customHeight="1" x14ac:dyDescent="0.2">
      <c r="A11" s="94">
        <v>8</v>
      </c>
      <c r="B11" s="102">
        <v>45210</v>
      </c>
      <c r="C11" s="108">
        <f>2100+99.5+8+70+259</f>
        <v>2536.5</v>
      </c>
      <c r="D11" s="109">
        <f>5020+1560+2541+7.8+92220</f>
        <v>101348.8</v>
      </c>
      <c r="E11" s="99">
        <v>13780</v>
      </c>
      <c r="F11" s="99">
        <f>246.93+212+31800</f>
        <v>32258.93</v>
      </c>
      <c r="G11" s="99"/>
      <c r="H11" s="98"/>
      <c r="I11" s="100">
        <v>15900</v>
      </c>
      <c r="J11" s="100">
        <v>80000</v>
      </c>
      <c r="K11" s="98">
        <f>26689.62+53318.36</f>
        <v>80007.98</v>
      </c>
      <c r="L11" s="98">
        <v>12852.96</v>
      </c>
      <c r="M11" s="98">
        <v>3000</v>
      </c>
      <c r="N11" s="98">
        <v>77134.97</v>
      </c>
      <c r="O11" s="99">
        <v>35000</v>
      </c>
      <c r="P11" s="98"/>
      <c r="Q11" s="100"/>
      <c r="R11" s="92">
        <f>разное!P12</f>
        <v>0</v>
      </c>
      <c r="S11" s="101">
        <f t="shared" si="0"/>
        <v>453820.14</v>
      </c>
    </row>
    <row r="12" spans="1:19" s="93" customFormat="1" ht="17.25" customHeight="1" x14ac:dyDescent="0.2">
      <c r="A12" s="94">
        <v>9</v>
      </c>
      <c r="B12" s="95">
        <v>45242</v>
      </c>
      <c r="C12" s="107">
        <f>2100+128.79+16+70+333+37</f>
        <v>2684.79</v>
      </c>
      <c r="D12" s="107">
        <f>7313+96220</f>
        <v>103533</v>
      </c>
      <c r="E12" s="98"/>
      <c r="F12" s="99"/>
      <c r="G12" s="98"/>
      <c r="H12" s="107">
        <v>12000</v>
      </c>
      <c r="I12" s="100">
        <v>15900</v>
      </c>
      <c r="J12" s="98">
        <f>220340.27+220340.27</f>
        <v>440680.54</v>
      </c>
      <c r="K12" s="98">
        <f>19700.76+51737.71</f>
        <v>71438.47</v>
      </c>
      <c r="L12" s="92">
        <v>5407.87</v>
      </c>
      <c r="M12" s="98">
        <v>3000</v>
      </c>
      <c r="N12" s="98">
        <v>77134.97</v>
      </c>
      <c r="O12" s="110">
        <v>42000</v>
      </c>
      <c r="P12" s="100">
        <f>9377.1</f>
        <v>9377.1</v>
      </c>
      <c r="Q12" s="100"/>
      <c r="R12" s="92">
        <f>разное!P13</f>
        <v>57356</v>
      </c>
      <c r="S12" s="101">
        <f t="shared" si="0"/>
        <v>840512.73999999987</v>
      </c>
    </row>
    <row r="13" spans="1:19" s="93" customFormat="1" ht="17.25" customHeight="1" thickBot="1" x14ac:dyDescent="0.25">
      <c r="A13" s="116">
        <v>10</v>
      </c>
      <c r="B13" s="117">
        <v>45274</v>
      </c>
      <c r="C13" s="118">
        <f>2100+96.22+70+8+222+37+2100</f>
        <v>4633.2199999999993</v>
      </c>
      <c r="D13" s="118">
        <f>123542</f>
        <v>123542</v>
      </c>
      <c r="E13" s="118">
        <f>14378+18460</f>
        <v>32838</v>
      </c>
      <c r="F13" s="118">
        <f>221+33180+284+42600</f>
        <v>76285</v>
      </c>
      <c r="G13" s="118"/>
      <c r="H13" s="119"/>
      <c r="I13" s="121">
        <v>15900</v>
      </c>
      <c r="J13" s="118">
        <v>176476.65</v>
      </c>
      <c r="K13" s="118">
        <f>25578+54429.98</f>
        <v>80007.98000000001</v>
      </c>
      <c r="L13" s="118">
        <v>7685.4</v>
      </c>
      <c r="M13" s="118">
        <v>3000</v>
      </c>
      <c r="N13" s="118">
        <v>77134.97</v>
      </c>
      <c r="O13" s="118">
        <v>72000</v>
      </c>
      <c r="P13" s="118"/>
      <c r="Q13" s="121"/>
      <c r="R13" s="122">
        <f>разное!P14</f>
        <v>4150.5</v>
      </c>
      <c r="S13" s="120">
        <f t="shared" si="0"/>
        <v>673653.72</v>
      </c>
    </row>
    <row r="14" spans="1:19" s="59" customFormat="1" ht="17.25" customHeight="1" thickTop="1" x14ac:dyDescent="0.2">
      <c r="A14" s="57">
        <v>11</v>
      </c>
      <c r="B14" s="17">
        <v>45306</v>
      </c>
      <c r="C14" s="18">
        <f>37+123.54+8+222+70</f>
        <v>460.54</v>
      </c>
      <c r="D14" s="61">
        <f>3500+95260</f>
        <v>98760</v>
      </c>
      <c r="E14" s="22">
        <v>14235</v>
      </c>
      <c r="F14" s="88">
        <f>1000+219+42600</f>
        <v>43819</v>
      </c>
      <c r="G14" s="22"/>
      <c r="H14" s="22"/>
      <c r="I14" s="100">
        <v>15900</v>
      </c>
      <c r="J14" s="22">
        <v>519235.5</v>
      </c>
      <c r="K14" s="22">
        <f>21924+51737</f>
        <v>73661</v>
      </c>
      <c r="L14" s="18"/>
      <c r="M14" s="100">
        <v>3000</v>
      </c>
      <c r="N14" s="88">
        <v>77134.97</v>
      </c>
      <c r="O14" s="88">
        <v>72000</v>
      </c>
      <c r="P14" s="22"/>
      <c r="Q14" s="22">
        <v>30000</v>
      </c>
      <c r="R14" s="56">
        <f>разное!P15</f>
        <v>2192</v>
      </c>
      <c r="S14" s="58">
        <f>SUM(C14:R14)</f>
        <v>950398.01</v>
      </c>
    </row>
    <row r="15" spans="1:19" ht="17.25" customHeight="1" thickBot="1" x14ac:dyDescent="0.25">
      <c r="A15" s="33">
        <v>12</v>
      </c>
      <c r="B15" s="6">
        <v>45338</v>
      </c>
      <c r="C15" s="14">
        <f>2100+112.76+70+8+222+37+92.22</f>
        <v>2641.98</v>
      </c>
      <c r="D15" s="15">
        <f>302.47+92220</f>
        <v>92522.47</v>
      </c>
      <c r="E15" s="16">
        <v>13780</v>
      </c>
      <c r="F15" s="16">
        <f>212+31800</f>
        <v>32012</v>
      </c>
      <c r="G15" s="16"/>
      <c r="H15" s="16"/>
      <c r="I15" s="100">
        <v>15900</v>
      </c>
      <c r="J15" s="16">
        <v>624594.35</v>
      </c>
      <c r="K15" s="16">
        <f>25578+55391.79</f>
        <v>80969.790000000008</v>
      </c>
      <c r="L15" s="14">
        <f>5355.4</f>
        <v>5355.4</v>
      </c>
      <c r="M15" s="98">
        <v>3000</v>
      </c>
      <c r="N15" s="16">
        <v>74992.33</v>
      </c>
      <c r="O15" s="88">
        <v>72000</v>
      </c>
      <c r="P15" s="16"/>
      <c r="Q15" s="22"/>
      <c r="R15" s="56">
        <f>разное!P16</f>
        <v>501</v>
      </c>
      <c r="S15" s="58">
        <f t="shared" si="0"/>
        <v>1018269.3200000001</v>
      </c>
    </row>
    <row r="16" spans="1:19" ht="26.25" customHeight="1" thickBot="1" x14ac:dyDescent="0.25">
      <c r="A16" s="183" t="s">
        <v>18</v>
      </c>
      <c r="B16" s="184"/>
      <c r="C16" s="74">
        <f t="shared" ref="C16:R16" si="1">SUM(C4:C15)</f>
        <v>34184.160000000003</v>
      </c>
      <c r="D16" s="74">
        <f t="shared" si="1"/>
        <v>1287547.8600000001</v>
      </c>
      <c r="E16" s="74">
        <f t="shared" si="1"/>
        <v>181879</v>
      </c>
      <c r="F16" s="74">
        <f t="shared" si="1"/>
        <v>433491.61</v>
      </c>
      <c r="G16" s="74">
        <f t="shared" si="1"/>
        <v>14517</v>
      </c>
      <c r="H16" s="74">
        <f t="shared" si="1"/>
        <v>39000</v>
      </c>
      <c r="I16" s="74">
        <f t="shared" si="1"/>
        <v>190350</v>
      </c>
      <c r="J16" s="74">
        <f t="shared" si="1"/>
        <v>3558736.69</v>
      </c>
      <c r="K16" s="74">
        <f t="shared" si="1"/>
        <v>949962.12999999989</v>
      </c>
      <c r="L16" s="74">
        <f t="shared" si="1"/>
        <v>73846.37999999999</v>
      </c>
      <c r="M16" s="74">
        <f t="shared" si="1"/>
        <v>73000</v>
      </c>
      <c r="N16" s="74">
        <f t="shared" si="1"/>
        <v>923476.99999999977</v>
      </c>
      <c r="O16" s="74">
        <f t="shared" si="1"/>
        <v>538000</v>
      </c>
      <c r="P16" s="74">
        <f t="shared" si="1"/>
        <v>30754.1</v>
      </c>
      <c r="Q16" s="74">
        <f t="shared" si="1"/>
        <v>30000</v>
      </c>
      <c r="R16" s="74">
        <f t="shared" si="1"/>
        <v>955164.1</v>
      </c>
      <c r="S16" s="75">
        <f t="shared" si="0"/>
        <v>9313910.0299999993</v>
      </c>
    </row>
    <row r="17" spans="1:19" x14ac:dyDescent="0.2">
      <c r="B17" s="2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7"/>
    </row>
    <row r="18" spans="1:19" x14ac:dyDescent="0.2">
      <c r="B18" s="2"/>
      <c r="C18" s="76"/>
      <c r="D18" s="76"/>
      <c r="E18" s="76"/>
      <c r="F18" s="76"/>
      <c r="G18" s="76"/>
      <c r="H18" s="76"/>
      <c r="I18" s="76"/>
      <c r="J18" s="78"/>
      <c r="K18" s="76"/>
      <c r="L18" s="76"/>
      <c r="M18" s="76"/>
      <c r="N18" s="76"/>
      <c r="O18" s="76"/>
      <c r="P18" s="76"/>
      <c r="Q18" s="76"/>
      <c r="R18" s="76"/>
      <c r="S18" s="2"/>
    </row>
    <row r="19" spans="1:19" x14ac:dyDescent="0.2">
      <c r="A19" s="185" t="s">
        <v>19</v>
      </c>
      <c r="B19" s="185"/>
      <c r="C19" s="185"/>
      <c r="D19" s="185"/>
      <c r="E19" s="185"/>
      <c r="F19" s="185"/>
      <c r="G19" s="185"/>
      <c r="H19" s="185"/>
      <c r="I19" s="185"/>
      <c r="J19" s="185"/>
      <c r="K19" s="3"/>
      <c r="L19" s="185" t="s">
        <v>20</v>
      </c>
      <c r="M19" s="185"/>
      <c r="N19" s="185"/>
      <c r="O19" s="185"/>
      <c r="P19" s="185"/>
      <c r="Q19" s="185"/>
      <c r="R19" s="185"/>
      <c r="S19" s="185"/>
    </row>
    <row r="20" spans="1:19" ht="15" customHeight="1" x14ac:dyDescent="0.2">
      <c r="B20" s="2"/>
      <c r="C20" s="79">
        <v>1</v>
      </c>
      <c r="D20" s="2" t="s">
        <v>40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s="80" customFormat="1" ht="15" customHeight="1" x14ac:dyDescent="0.25">
      <c r="B21" s="40"/>
      <c r="C21" s="81">
        <v>2</v>
      </c>
      <c r="D21" s="2" t="s">
        <v>38</v>
      </c>
      <c r="E21" s="40"/>
      <c r="F21" s="40"/>
      <c r="G21" s="40"/>
      <c r="H21" s="40"/>
      <c r="I21" s="40"/>
      <c r="J21" s="40"/>
      <c r="K21" s="40"/>
      <c r="L21" s="40">
        <v>13</v>
      </c>
      <c r="M21" s="2" t="s">
        <v>48</v>
      </c>
      <c r="O21" s="40"/>
      <c r="P21" s="40"/>
      <c r="Q21" s="40"/>
      <c r="R21" s="40"/>
      <c r="S21" s="40"/>
    </row>
    <row r="22" spans="1:19" s="80" customFormat="1" ht="15" customHeight="1" x14ac:dyDescent="0.2">
      <c r="C22" s="81">
        <v>3</v>
      </c>
      <c r="D22" s="2" t="s">
        <v>39</v>
      </c>
      <c r="L22" s="80">
        <v>14</v>
      </c>
      <c r="M22" s="2" t="s">
        <v>45</v>
      </c>
    </row>
    <row r="23" spans="1:19" s="80" customFormat="1" ht="15" customHeight="1" x14ac:dyDescent="0.25">
      <c r="C23" s="81">
        <v>4</v>
      </c>
      <c r="D23" s="2" t="s">
        <v>55</v>
      </c>
      <c r="E23" s="40"/>
      <c r="F23" s="181"/>
      <c r="G23" s="181"/>
      <c r="H23" s="82"/>
      <c r="L23" s="40">
        <v>15</v>
      </c>
      <c r="M23" s="2" t="s">
        <v>81</v>
      </c>
    </row>
    <row r="24" spans="1:19" s="80" customFormat="1" ht="15" customHeight="1" x14ac:dyDescent="0.2">
      <c r="C24" s="81">
        <v>5</v>
      </c>
      <c r="D24" s="2" t="s">
        <v>41</v>
      </c>
      <c r="L24" s="80">
        <v>16</v>
      </c>
      <c r="M24" s="2" t="s">
        <v>49</v>
      </c>
    </row>
    <row r="25" spans="1:19" s="80" customFormat="1" ht="15" customHeight="1" x14ac:dyDescent="0.25">
      <c r="C25" s="81">
        <v>6</v>
      </c>
      <c r="D25" s="2" t="s">
        <v>42</v>
      </c>
      <c r="L25" s="40"/>
      <c r="M25" s="2"/>
    </row>
    <row r="26" spans="1:19" s="80" customFormat="1" ht="15" customHeight="1" x14ac:dyDescent="0.2">
      <c r="C26" s="81">
        <v>7</v>
      </c>
      <c r="D26" s="2" t="s">
        <v>43</v>
      </c>
    </row>
    <row r="27" spans="1:19" s="80" customFormat="1" ht="15" customHeight="1" x14ac:dyDescent="0.25">
      <c r="C27" s="81">
        <v>8</v>
      </c>
      <c r="D27" s="2" t="s">
        <v>44</v>
      </c>
      <c r="L27" s="40"/>
      <c r="M27" s="2"/>
    </row>
    <row r="28" spans="1:19" s="80" customFormat="1" ht="15" customHeight="1" x14ac:dyDescent="0.2">
      <c r="C28" s="81">
        <v>9</v>
      </c>
      <c r="D28" s="2" t="s">
        <v>54</v>
      </c>
    </row>
    <row r="29" spans="1:19" ht="15" customHeight="1" x14ac:dyDescent="0.25">
      <c r="C29" s="79">
        <v>10</v>
      </c>
      <c r="D29" s="2" t="s">
        <v>46</v>
      </c>
      <c r="L29" s="40"/>
    </row>
    <row r="30" spans="1:19" ht="15" customHeight="1" x14ac:dyDescent="0.2">
      <c r="C30" s="83">
        <v>11</v>
      </c>
      <c r="D30" s="2" t="s">
        <v>47</v>
      </c>
    </row>
    <row r="31" spans="1:19" ht="15" customHeight="1" x14ac:dyDescent="0.2">
      <c r="C31" s="83">
        <v>12</v>
      </c>
      <c r="D31" s="2" t="s">
        <v>56</v>
      </c>
    </row>
    <row r="32" spans="1:19" x14ac:dyDescent="0.2">
      <c r="C32" s="83"/>
      <c r="D32" s="2"/>
    </row>
    <row r="33" spans="2:11" x14ac:dyDescent="0.2">
      <c r="C33" s="83"/>
      <c r="D33" s="2"/>
    </row>
    <row r="34" spans="2:11" x14ac:dyDescent="0.2">
      <c r="C34" s="83"/>
    </row>
    <row r="35" spans="2:11" s="69" customFormat="1" ht="15.75" x14ac:dyDescent="0.25">
      <c r="B35" s="4" t="s">
        <v>21</v>
      </c>
      <c r="I35" s="180" t="s">
        <v>22</v>
      </c>
      <c r="J35" s="180"/>
      <c r="K35" s="180"/>
    </row>
    <row r="44" spans="2:11" x14ac:dyDescent="0.2">
      <c r="D44" s="84"/>
    </row>
  </sheetData>
  <mergeCells count="7">
    <mergeCell ref="F23:G23"/>
    <mergeCell ref="I35:K35"/>
    <mergeCell ref="R1:S1"/>
    <mergeCell ref="A16:B16"/>
    <mergeCell ref="A19:J19"/>
    <mergeCell ref="L19:S19"/>
    <mergeCell ref="A1:P1"/>
  </mergeCells>
  <phoneticPr fontId="14" type="noConversion"/>
  <pageMargins left="0.11811023622047245" right="0.11811023622047245" top="0.35433070866141736" bottom="0.74803149606299213" header="0.31496062992125984" footer="0.31496062992125984"/>
  <pageSetup paperSize="9" scale="86" fitToWidth="2" orientation="landscape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tabSelected="1" zoomScaleNormal="100" zoomScalePageLayoutView="125" workbookViewId="0">
      <selection activeCell="C35" sqref="C35"/>
    </sheetView>
  </sheetViews>
  <sheetFormatPr defaultColWidth="8.85546875" defaultRowHeight="12.75" x14ac:dyDescent="0.2"/>
  <cols>
    <col min="1" max="1" width="13.42578125" style="93" customWidth="1"/>
    <col min="2" max="2" width="11" style="93" customWidth="1"/>
    <col min="3" max="3" width="12.42578125" style="93" customWidth="1"/>
    <col min="4" max="4" width="10.140625" style="93" customWidth="1"/>
    <col min="5" max="6" width="11.140625" style="93" customWidth="1"/>
    <col min="7" max="7" width="14.140625" style="93" customWidth="1"/>
    <col min="8" max="9" width="12.7109375" style="93" customWidth="1"/>
    <col min="10" max="10" width="11.28515625" style="93" customWidth="1"/>
    <col min="11" max="11" width="15.28515625" style="93" customWidth="1"/>
    <col min="12" max="13" width="12.7109375" style="93" customWidth="1"/>
    <col min="14" max="14" width="14" style="93" customWidth="1"/>
    <col min="15" max="15" width="15" style="93" customWidth="1"/>
    <col min="16" max="16" width="15.28515625" style="93" customWidth="1"/>
    <col min="17" max="17" width="10.28515625" style="93" bestFit="1" customWidth="1"/>
    <col min="18" max="16384" width="8.85546875" style="93"/>
  </cols>
  <sheetData>
    <row r="1" spans="1:17" x14ac:dyDescent="0.2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7" x14ac:dyDescent="0.2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</row>
    <row r="3" spans="1:17" ht="48.75" thickBot="1" x14ac:dyDescent="0.25">
      <c r="A3" s="135" t="s">
        <v>28</v>
      </c>
      <c r="B3" s="136" t="s">
        <v>62</v>
      </c>
      <c r="C3" s="136" t="s">
        <v>75</v>
      </c>
      <c r="D3" s="136" t="s">
        <v>74</v>
      </c>
      <c r="E3" s="136" t="s">
        <v>72</v>
      </c>
      <c r="F3" s="136" t="s">
        <v>50</v>
      </c>
      <c r="G3" s="136" t="s">
        <v>52</v>
      </c>
      <c r="H3" s="136" t="s">
        <v>58</v>
      </c>
      <c r="I3" s="136" t="s">
        <v>73</v>
      </c>
      <c r="J3" s="136" t="s">
        <v>63</v>
      </c>
      <c r="K3" s="136" t="s">
        <v>68</v>
      </c>
      <c r="L3" s="136" t="s">
        <v>57</v>
      </c>
      <c r="M3" s="136" t="s">
        <v>76</v>
      </c>
      <c r="N3" s="136" t="s">
        <v>71</v>
      </c>
      <c r="O3" s="136" t="s">
        <v>69</v>
      </c>
      <c r="P3" s="135" t="s">
        <v>5</v>
      </c>
    </row>
    <row r="4" spans="1:17" ht="14.25" customHeight="1" thickBot="1" x14ac:dyDescent="0.25">
      <c r="A4" s="137"/>
      <c r="B4" s="138">
        <v>1</v>
      </c>
      <c r="C4" s="138">
        <v>2</v>
      </c>
      <c r="D4" s="138">
        <v>3</v>
      </c>
      <c r="E4" s="138">
        <v>4</v>
      </c>
      <c r="F4" s="138">
        <v>5</v>
      </c>
      <c r="G4" s="138">
        <v>6</v>
      </c>
      <c r="H4" s="138">
        <v>7</v>
      </c>
      <c r="I4" s="138">
        <v>8</v>
      </c>
      <c r="J4" s="138">
        <v>9</v>
      </c>
      <c r="K4" s="138">
        <v>10</v>
      </c>
      <c r="L4" s="138">
        <v>11</v>
      </c>
      <c r="M4" s="138">
        <v>12</v>
      </c>
      <c r="N4" s="138">
        <v>13</v>
      </c>
      <c r="O4" s="138">
        <v>14</v>
      </c>
      <c r="P4" s="139"/>
    </row>
    <row r="5" spans="1:17" x14ac:dyDescent="0.2">
      <c r="A5" s="105">
        <v>44986</v>
      </c>
      <c r="B5" s="91"/>
      <c r="C5" s="91"/>
      <c r="D5" s="91"/>
      <c r="E5" s="91"/>
      <c r="F5" s="91"/>
      <c r="G5" s="91"/>
      <c r="H5" s="91"/>
      <c r="I5" s="91">
        <f>14018+70821+582.4+1323+32172</f>
        <v>118916.4</v>
      </c>
      <c r="J5" s="91">
        <v>60000</v>
      </c>
      <c r="K5" s="91"/>
      <c r="L5" s="91"/>
      <c r="M5" s="91"/>
      <c r="N5" s="91"/>
      <c r="O5" s="91"/>
      <c r="P5" s="92">
        <f t="shared" ref="P5:P17" si="0">SUM(B5:O5)</f>
        <v>178916.4</v>
      </c>
    </row>
    <row r="6" spans="1:17" x14ac:dyDescent="0.2">
      <c r="A6" s="89">
        <v>45018</v>
      </c>
      <c r="B6" s="90"/>
      <c r="C6" s="90"/>
      <c r="D6" s="90"/>
      <c r="E6" s="90"/>
      <c r="F6" s="90"/>
      <c r="G6" s="90"/>
      <c r="H6" s="91"/>
      <c r="I6" s="91">
        <f>354+5381+3390.8+6675+4787.6</f>
        <v>20588.400000000001</v>
      </c>
      <c r="J6" s="91">
        <v>64000</v>
      </c>
      <c r="K6" s="91"/>
      <c r="L6" s="91"/>
      <c r="M6" s="140"/>
      <c r="N6" s="91"/>
      <c r="O6" s="91"/>
      <c r="P6" s="92">
        <f t="shared" si="0"/>
        <v>84588.4</v>
      </c>
    </row>
    <row r="7" spans="1:17" x14ac:dyDescent="0.2">
      <c r="A7" s="105">
        <v>45050</v>
      </c>
      <c r="B7" s="90">
        <v>40000.6</v>
      </c>
      <c r="C7" s="90"/>
      <c r="D7" s="90"/>
      <c r="E7" s="90"/>
      <c r="F7" s="90"/>
      <c r="G7" s="90"/>
      <c r="H7" s="91"/>
      <c r="I7" s="91">
        <f>5199.4+26780+8752+312+1490+1490</f>
        <v>44023.4</v>
      </c>
      <c r="J7" s="91"/>
      <c r="K7" s="91"/>
      <c r="L7" s="91"/>
      <c r="M7" s="90"/>
      <c r="N7" s="91"/>
      <c r="O7" s="91"/>
      <c r="P7" s="92">
        <f t="shared" si="0"/>
        <v>84024</v>
      </c>
    </row>
    <row r="8" spans="1:17" x14ac:dyDescent="0.2">
      <c r="A8" s="89">
        <v>45082</v>
      </c>
      <c r="B8" s="90"/>
      <c r="C8" s="90"/>
      <c r="D8" s="90"/>
      <c r="E8" s="90">
        <v>20000</v>
      </c>
      <c r="F8" s="90"/>
      <c r="G8" s="90">
        <v>3800</v>
      </c>
      <c r="H8" s="91">
        <v>17892</v>
      </c>
      <c r="I8" s="91">
        <f>6904.28+2539+3301+46866.31</f>
        <v>59610.59</v>
      </c>
      <c r="J8" s="91">
        <v>60000</v>
      </c>
      <c r="K8" s="91">
        <v>2000</v>
      </c>
      <c r="L8" s="91">
        <f>1865+349</f>
        <v>2214</v>
      </c>
      <c r="M8" s="91"/>
      <c r="N8" s="91">
        <v>29950</v>
      </c>
      <c r="O8" s="91">
        <f>2595.8+12979</f>
        <v>15574.8</v>
      </c>
      <c r="P8" s="92">
        <f t="shared" si="0"/>
        <v>211041.38999999998</v>
      </c>
    </row>
    <row r="9" spans="1:17" ht="12.95" customHeight="1" x14ac:dyDescent="0.2">
      <c r="A9" s="105">
        <v>45114</v>
      </c>
      <c r="B9" s="90"/>
      <c r="C9" s="90"/>
      <c r="D9" s="90"/>
      <c r="E9" s="90"/>
      <c r="F9" s="90"/>
      <c r="G9" s="90"/>
      <c r="H9" s="91"/>
      <c r="I9" s="91">
        <f>12214+662+9904+12854+1490.5</f>
        <v>37124.5</v>
      </c>
      <c r="J9" s="91"/>
      <c r="K9" s="106"/>
      <c r="L9" s="91"/>
      <c r="M9" s="91"/>
      <c r="N9" s="91"/>
      <c r="O9" s="91" t="s">
        <v>70</v>
      </c>
      <c r="P9" s="92">
        <f t="shared" si="0"/>
        <v>37124.5</v>
      </c>
    </row>
    <row r="10" spans="1:17" x14ac:dyDescent="0.2">
      <c r="A10" s="89">
        <v>45146</v>
      </c>
      <c r="B10" s="90"/>
      <c r="C10" s="90"/>
      <c r="D10" s="90">
        <f>72000+72000</f>
        <v>144000</v>
      </c>
      <c r="E10" s="90"/>
      <c r="F10" s="90"/>
      <c r="G10" s="90"/>
      <c r="H10" s="91"/>
      <c r="I10" s="91">
        <f>4458+2519.42+819.81+5119+4936.08+5650+8966.5</f>
        <v>32468.809999999998</v>
      </c>
      <c r="J10" s="91">
        <v>75000</v>
      </c>
      <c r="K10" s="91"/>
      <c r="L10" s="91">
        <f>260</f>
        <v>260</v>
      </c>
      <c r="M10" s="91"/>
      <c r="N10" s="91"/>
      <c r="O10" s="91"/>
      <c r="P10" s="92">
        <f t="shared" si="0"/>
        <v>251728.81</v>
      </c>
    </row>
    <row r="11" spans="1:17" x14ac:dyDescent="0.2">
      <c r="A11" s="105">
        <v>45178</v>
      </c>
      <c r="B11" s="90"/>
      <c r="C11" s="90">
        <v>20007</v>
      </c>
      <c r="D11" s="90"/>
      <c r="E11" s="90"/>
      <c r="F11" s="90">
        <v>20914.099999999999</v>
      </c>
      <c r="G11" s="90"/>
      <c r="H11" s="91"/>
      <c r="I11" s="91"/>
      <c r="J11" s="91"/>
      <c r="K11" s="91"/>
      <c r="L11" s="91">
        <f>1118+1502</f>
        <v>2620</v>
      </c>
      <c r="M11" s="91"/>
      <c r="N11" s="91"/>
      <c r="O11" s="91"/>
      <c r="P11" s="92">
        <f t="shared" si="0"/>
        <v>43541.1</v>
      </c>
    </row>
    <row r="12" spans="1:17" x14ac:dyDescent="0.2">
      <c r="A12" s="89">
        <v>45210</v>
      </c>
      <c r="B12" s="90"/>
      <c r="C12" s="90"/>
      <c r="D12" s="90"/>
      <c r="F12" s="90"/>
      <c r="G12" s="90"/>
      <c r="H12" s="91"/>
      <c r="I12" s="91"/>
      <c r="J12" s="91"/>
      <c r="K12" s="91"/>
      <c r="L12" s="91"/>
      <c r="M12" s="90"/>
      <c r="N12" s="91"/>
      <c r="O12" s="91"/>
      <c r="P12" s="92">
        <f t="shared" si="0"/>
        <v>0</v>
      </c>
    </row>
    <row r="13" spans="1:17" x14ac:dyDescent="0.2">
      <c r="A13" s="105">
        <v>45242</v>
      </c>
      <c r="B13" s="90"/>
      <c r="C13" s="90"/>
      <c r="D13" s="111"/>
      <c r="E13" s="90"/>
      <c r="F13" s="90"/>
      <c r="G13" s="90"/>
      <c r="H13" s="91"/>
      <c r="I13" s="91">
        <f>3884+1312.5</f>
        <v>5196.5</v>
      </c>
      <c r="J13" s="91"/>
      <c r="K13" s="91"/>
      <c r="L13" s="91">
        <f>2159.5</f>
        <v>2159.5</v>
      </c>
      <c r="M13" s="90">
        <v>50000</v>
      </c>
      <c r="N13" s="90"/>
      <c r="O13" s="91"/>
      <c r="P13" s="92">
        <f t="shared" si="0"/>
        <v>57356</v>
      </c>
    </row>
    <row r="14" spans="1:17" ht="13.5" thickBot="1" x14ac:dyDescent="0.25">
      <c r="A14" s="141">
        <v>45274</v>
      </c>
      <c r="B14" s="142"/>
      <c r="C14" s="142"/>
      <c r="D14" s="142"/>
      <c r="E14" s="142"/>
      <c r="F14" s="142"/>
      <c r="G14" s="142"/>
      <c r="H14" s="142"/>
      <c r="I14" s="142">
        <f>4150.5</f>
        <v>4150.5</v>
      </c>
      <c r="J14" s="142"/>
      <c r="K14" s="142"/>
      <c r="L14" s="142"/>
      <c r="M14" s="142"/>
      <c r="N14" s="142"/>
      <c r="O14" s="142"/>
      <c r="P14" s="119">
        <f t="shared" si="0"/>
        <v>4150.5</v>
      </c>
    </row>
    <row r="15" spans="1:17" ht="13.5" thickTop="1" x14ac:dyDescent="0.2">
      <c r="A15" s="153">
        <v>45306</v>
      </c>
      <c r="B15" s="91"/>
      <c r="C15" s="91"/>
      <c r="D15" s="91"/>
      <c r="E15" s="91"/>
      <c r="F15" s="91"/>
      <c r="G15" s="91"/>
      <c r="H15" s="91"/>
      <c r="I15" s="91">
        <f>1204+398</f>
        <v>1602</v>
      </c>
      <c r="J15" s="91"/>
      <c r="K15" s="91"/>
      <c r="L15" s="91">
        <f>590</f>
        <v>590</v>
      </c>
      <c r="M15" s="91"/>
      <c r="N15" s="91"/>
      <c r="O15" s="91"/>
      <c r="P15" s="92">
        <f t="shared" si="0"/>
        <v>2192</v>
      </c>
    </row>
    <row r="16" spans="1:17" ht="13.5" thickBot="1" x14ac:dyDescent="0.25">
      <c r="A16" s="155">
        <v>45338</v>
      </c>
      <c r="B16" s="143"/>
      <c r="C16" s="143"/>
      <c r="D16" s="142"/>
      <c r="E16" s="142"/>
      <c r="F16" s="142"/>
      <c r="G16" s="142"/>
      <c r="H16" s="142"/>
      <c r="I16" s="142">
        <f>327</f>
        <v>327</v>
      </c>
      <c r="J16" s="142"/>
      <c r="K16" s="142"/>
      <c r="L16" s="142">
        <f>174</f>
        <v>174</v>
      </c>
      <c r="M16" s="142"/>
      <c r="N16" s="142"/>
      <c r="O16" s="142"/>
      <c r="P16" s="92">
        <f t="shared" si="0"/>
        <v>501</v>
      </c>
      <c r="Q16" s="144"/>
    </row>
    <row r="17" spans="1:16" ht="14.25" thickTop="1" thickBot="1" x14ac:dyDescent="0.25">
      <c r="A17" s="154"/>
      <c r="B17" s="122">
        <f t="shared" ref="B17:O17" si="1">SUM(B5:B16)</f>
        <v>40000.6</v>
      </c>
      <c r="C17" s="145">
        <f t="shared" si="1"/>
        <v>20007</v>
      </c>
      <c r="D17" s="145">
        <f t="shared" si="1"/>
        <v>144000</v>
      </c>
      <c r="E17" s="145">
        <f t="shared" si="1"/>
        <v>20000</v>
      </c>
      <c r="F17" s="145">
        <f t="shared" si="1"/>
        <v>20914.099999999999</v>
      </c>
      <c r="G17" s="145">
        <f t="shared" si="1"/>
        <v>3800</v>
      </c>
      <c r="H17" s="145">
        <f t="shared" si="1"/>
        <v>17892</v>
      </c>
      <c r="I17" s="145">
        <f t="shared" si="1"/>
        <v>324008.09999999998</v>
      </c>
      <c r="J17" s="145">
        <f t="shared" si="1"/>
        <v>259000</v>
      </c>
      <c r="K17" s="145">
        <f t="shared" si="1"/>
        <v>2000</v>
      </c>
      <c r="L17" s="145">
        <f t="shared" si="1"/>
        <v>8017.5</v>
      </c>
      <c r="M17" s="145">
        <f>SUM(M5:M16)</f>
        <v>50000</v>
      </c>
      <c r="N17" s="145">
        <f t="shared" si="1"/>
        <v>29950</v>
      </c>
      <c r="O17" s="145">
        <f t="shared" si="1"/>
        <v>15574.8</v>
      </c>
      <c r="P17" s="146">
        <f t="shared" si="0"/>
        <v>955164.10000000009</v>
      </c>
    </row>
    <row r="18" spans="1:16" ht="13.5" thickTop="1" x14ac:dyDescent="0.2"/>
    <row r="19" spans="1:16" x14ac:dyDescent="0.2">
      <c r="A19" s="147">
        <v>1</v>
      </c>
      <c r="B19" s="93" t="s">
        <v>82</v>
      </c>
    </row>
    <row r="20" spans="1:16" x14ac:dyDescent="0.2">
      <c r="A20" s="148">
        <v>2</v>
      </c>
      <c r="B20" s="93" t="s">
        <v>78</v>
      </c>
    </row>
    <row r="21" spans="1:16" x14ac:dyDescent="0.2">
      <c r="A21" s="148">
        <v>3</v>
      </c>
      <c r="B21" s="93" t="s">
        <v>83</v>
      </c>
    </row>
    <row r="22" spans="1:16" x14ac:dyDescent="0.2">
      <c r="A22" s="147">
        <v>4</v>
      </c>
      <c r="B22" s="93" t="s">
        <v>84</v>
      </c>
    </row>
    <row r="23" spans="1:16" x14ac:dyDescent="0.2">
      <c r="A23" s="148">
        <v>5</v>
      </c>
      <c r="B23" s="93" t="s">
        <v>85</v>
      </c>
    </row>
    <row r="24" spans="1:16" x14ac:dyDescent="0.2">
      <c r="A24" s="148">
        <v>6</v>
      </c>
      <c r="B24" s="93" t="s">
        <v>86</v>
      </c>
    </row>
    <row r="25" spans="1:16" x14ac:dyDescent="0.2">
      <c r="A25" s="147">
        <v>7</v>
      </c>
      <c r="B25" s="93" t="s">
        <v>60</v>
      </c>
    </row>
    <row r="26" spans="1:16" x14ac:dyDescent="0.2">
      <c r="A26" s="148">
        <v>8</v>
      </c>
      <c r="B26" s="93" t="s">
        <v>59</v>
      </c>
    </row>
    <row r="27" spans="1:16" x14ac:dyDescent="0.2">
      <c r="A27" s="148">
        <v>9</v>
      </c>
      <c r="B27" s="93" t="s">
        <v>87</v>
      </c>
    </row>
    <row r="28" spans="1:16" x14ac:dyDescent="0.2">
      <c r="A28" s="147">
        <v>10</v>
      </c>
      <c r="B28" s="93" t="s">
        <v>79</v>
      </c>
    </row>
    <row r="29" spans="1:16" x14ac:dyDescent="0.2">
      <c r="A29" s="148">
        <v>11</v>
      </c>
      <c r="B29" s="93" t="s">
        <v>59</v>
      </c>
    </row>
    <row r="30" spans="1:16" x14ac:dyDescent="0.2">
      <c r="A30" s="148">
        <v>12</v>
      </c>
      <c r="B30" s="93" t="s">
        <v>88</v>
      </c>
    </row>
    <row r="31" spans="1:16" x14ac:dyDescent="0.2">
      <c r="A31" s="147">
        <v>13</v>
      </c>
      <c r="B31" s="93" t="s">
        <v>89</v>
      </c>
    </row>
    <row r="32" spans="1:16" x14ac:dyDescent="0.2">
      <c r="A32" s="148">
        <v>14</v>
      </c>
      <c r="B32" s="93" t="s">
        <v>90</v>
      </c>
    </row>
    <row r="33" spans="1:15" ht="15.75" x14ac:dyDescent="0.25">
      <c r="A33" s="148"/>
      <c r="B33" s="149"/>
      <c r="C33" s="150"/>
      <c r="D33" s="151"/>
      <c r="E33" s="189"/>
      <c r="F33" s="189"/>
      <c r="G33" s="152"/>
      <c r="H33" s="152"/>
      <c r="I33" s="152"/>
      <c r="J33" s="152"/>
      <c r="K33" s="152"/>
      <c r="L33" s="152"/>
      <c r="M33" s="152"/>
      <c r="N33" s="152"/>
      <c r="O33" s="152"/>
    </row>
    <row r="34" spans="1:15" x14ac:dyDescent="0.2">
      <c r="A34" s="148"/>
    </row>
    <row r="35" spans="1:15" x14ac:dyDescent="0.2">
      <c r="A35" s="148"/>
    </row>
    <row r="36" spans="1:15" x14ac:dyDescent="0.2">
      <c r="A36" s="148"/>
    </row>
  </sheetData>
  <mergeCells count="2">
    <mergeCell ref="A1:P2"/>
    <mergeCell ref="E33:F33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scale="61" orientation="landscape" verticalDpi="0"/>
  <ignoredErrors>
    <ignoredError sqref="P5:P16 B17 C17:O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6" workbookViewId="0">
      <selection activeCell="B36" sqref="B21:B36"/>
    </sheetView>
  </sheetViews>
  <sheetFormatPr defaultColWidth="9.140625" defaultRowHeight="12.75" x14ac:dyDescent="0.2"/>
  <cols>
    <col min="1" max="1" width="44.140625" customWidth="1"/>
    <col min="2" max="2" width="19.42578125" customWidth="1"/>
    <col min="3" max="3" width="12.85546875" customWidth="1"/>
    <col min="4" max="4" width="9.28515625" bestFit="1" customWidth="1"/>
    <col min="5" max="5" width="10.140625" bestFit="1" customWidth="1"/>
  </cols>
  <sheetData>
    <row r="1" spans="1:17" x14ac:dyDescent="0.2">
      <c r="A1" s="85">
        <v>508.94</v>
      </c>
      <c r="B1" s="85">
        <v>28.69</v>
      </c>
      <c r="C1" s="85">
        <v>574.01</v>
      </c>
      <c r="D1" s="85">
        <v>92.32</v>
      </c>
      <c r="E1" s="85">
        <v>2508.6999999999998</v>
      </c>
      <c r="F1" s="85">
        <v>756.4</v>
      </c>
      <c r="G1" s="85">
        <v>2309.0100000000002</v>
      </c>
      <c r="H1" s="85">
        <v>791.67</v>
      </c>
      <c r="I1" s="85">
        <v>1029.8599999999999</v>
      </c>
      <c r="J1" s="85">
        <v>4202.33</v>
      </c>
      <c r="K1" s="85">
        <v>1255.9100000000001</v>
      </c>
      <c r="L1" s="85">
        <v>1085.79</v>
      </c>
    </row>
    <row r="2" spans="1:17" ht="141.75" x14ac:dyDescent="0.2">
      <c r="A2" s="65" t="s">
        <v>11</v>
      </c>
      <c r="B2" s="65" t="s">
        <v>11</v>
      </c>
      <c r="C2" s="65" t="s">
        <v>17</v>
      </c>
      <c r="D2" s="65" t="s">
        <v>12</v>
      </c>
      <c r="E2" s="65" t="s">
        <v>51</v>
      </c>
      <c r="F2" s="65" t="s">
        <v>33</v>
      </c>
      <c r="G2" s="67" t="s">
        <v>36</v>
      </c>
      <c r="H2" s="67" t="s">
        <v>34</v>
      </c>
      <c r="I2" s="67" t="s">
        <v>25</v>
      </c>
      <c r="J2" s="67" t="s">
        <v>31</v>
      </c>
      <c r="K2" s="66" t="s">
        <v>35</v>
      </c>
      <c r="L2" s="65" t="s">
        <v>67</v>
      </c>
      <c r="M2" s="65" t="s">
        <v>61</v>
      </c>
      <c r="N2" s="65" t="s">
        <v>24</v>
      </c>
      <c r="O2" s="113" t="s">
        <v>26</v>
      </c>
      <c r="P2" s="115" t="s">
        <v>77</v>
      </c>
      <c r="Q2" s="67" t="s">
        <v>27</v>
      </c>
    </row>
    <row r="3" spans="1:17" ht="15.75" x14ac:dyDescent="0.2">
      <c r="A3" s="63" t="s">
        <v>11</v>
      </c>
      <c r="B3" s="7">
        <v>34184.160000000003</v>
      </c>
      <c r="C3" s="7">
        <v>1287547.8600000001</v>
      </c>
      <c r="D3" s="7">
        <v>181879</v>
      </c>
      <c r="E3" s="7">
        <v>433491.61</v>
      </c>
      <c r="F3" s="7">
        <v>14517</v>
      </c>
      <c r="G3" s="7">
        <v>39000</v>
      </c>
      <c r="H3" s="7">
        <v>190350</v>
      </c>
      <c r="I3" s="7">
        <v>3558736.69</v>
      </c>
      <c r="J3" s="7">
        <v>949962.12999999989</v>
      </c>
      <c r="K3" s="7">
        <v>73846.37999999999</v>
      </c>
      <c r="L3" s="7">
        <v>73000</v>
      </c>
      <c r="M3" s="7">
        <v>923476.99999999977</v>
      </c>
      <c r="N3" s="7">
        <v>538000</v>
      </c>
      <c r="O3" s="7">
        <v>30754.1</v>
      </c>
      <c r="P3" s="7">
        <v>30000</v>
      </c>
      <c r="Q3" s="7">
        <v>955164.1</v>
      </c>
    </row>
    <row r="4" spans="1:17" ht="15.75" x14ac:dyDescent="0.2">
      <c r="A4" s="63" t="s">
        <v>17</v>
      </c>
      <c r="B4" s="7"/>
    </row>
    <row r="5" spans="1:17" ht="15.75" x14ac:dyDescent="0.2">
      <c r="A5" s="63" t="s">
        <v>12</v>
      </c>
      <c r="B5" s="7"/>
    </row>
    <row r="6" spans="1:17" ht="15.75" x14ac:dyDescent="0.2">
      <c r="A6" s="63" t="s">
        <v>51</v>
      </c>
      <c r="B6" s="7"/>
    </row>
    <row r="7" spans="1:17" ht="15.75" x14ac:dyDescent="0.2">
      <c r="A7" s="63" t="s">
        <v>33</v>
      </c>
      <c r="B7" s="7"/>
    </row>
    <row r="8" spans="1:17" ht="15.75" x14ac:dyDescent="0.2">
      <c r="A8" s="64" t="s">
        <v>36</v>
      </c>
      <c r="B8" s="7"/>
    </row>
    <row r="9" spans="1:17" ht="15.75" x14ac:dyDescent="0.2">
      <c r="A9" s="64" t="s">
        <v>34</v>
      </c>
      <c r="B9" s="7"/>
    </row>
    <row r="10" spans="1:17" ht="15.75" x14ac:dyDescent="0.2">
      <c r="A10" s="64" t="s">
        <v>25</v>
      </c>
      <c r="B10" s="7"/>
    </row>
    <row r="11" spans="1:17" ht="15.75" x14ac:dyDescent="0.2">
      <c r="A11" s="64" t="s">
        <v>31</v>
      </c>
      <c r="B11" s="7"/>
    </row>
    <row r="12" spans="1:17" ht="15.75" x14ac:dyDescent="0.2">
      <c r="A12" s="86" t="s">
        <v>35</v>
      </c>
      <c r="B12" s="7"/>
    </row>
    <row r="13" spans="1:17" ht="15.75" x14ac:dyDescent="0.2">
      <c r="A13" s="63" t="s">
        <v>53</v>
      </c>
      <c r="B13" s="7"/>
    </row>
    <row r="14" spans="1:17" ht="15.75" x14ac:dyDescent="0.2">
      <c r="A14" s="63" t="s">
        <v>23</v>
      </c>
      <c r="B14" s="7"/>
    </row>
    <row r="15" spans="1:17" ht="15.75" x14ac:dyDescent="0.2">
      <c r="A15" s="63" t="s">
        <v>24</v>
      </c>
      <c r="B15" s="7"/>
    </row>
    <row r="16" spans="1:17" ht="15.75" x14ac:dyDescent="0.2">
      <c r="A16" s="63" t="s">
        <v>26</v>
      </c>
      <c r="B16" s="7"/>
    </row>
    <row r="17" spans="1:16" ht="14.1" customHeight="1" x14ac:dyDescent="0.2">
      <c r="A17" s="64" t="s">
        <v>27</v>
      </c>
      <c r="B17" s="7"/>
    </row>
    <row r="18" spans="1:16" ht="14.1" customHeight="1" x14ac:dyDescent="0.2">
      <c r="B18" s="7"/>
    </row>
    <row r="19" spans="1:16" ht="14.1" customHeight="1" x14ac:dyDescent="0.2"/>
    <row r="20" spans="1:16" ht="14.1" customHeight="1" x14ac:dyDescent="0.2"/>
    <row r="21" spans="1:16" ht="14.1" customHeight="1" thickBot="1" x14ac:dyDescent="0.25">
      <c r="A21" s="63" t="s">
        <v>11</v>
      </c>
      <c r="B21" s="7">
        <v>34184.160000000003</v>
      </c>
    </row>
    <row r="22" spans="1:16" ht="14.1" customHeight="1" thickBot="1" x14ac:dyDescent="0.25">
      <c r="A22" s="63" t="s">
        <v>17</v>
      </c>
      <c r="B22" s="7">
        <v>1287547.8600000001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ht="14.1" customHeight="1" x14ac:dyDescent="0.2">
      <c r="A23" s="63" t="s">
        <v>12</v>
      </c>
      <c r="B23" s="7">
        <v>181879</v>
      </c>
    </row>
    <row r="24" spans="1:16" ht="12.95" customHeight="1" x14ac:dyDescent="0.2">
      <c r="A24" s="63" t="s">
        <v>51</v>
      </c>
      <c r="B24" s="7">
        <v>433491.61</v>
      </c>
    </row>
    <row r="25" spans="1:16" ht="12.95" customHeight="1" x14ac:dyDescent="0.2">
      <c r="A25" s="63" t="s">
        <v>33</v>
      </c>
      <c r="B25" s="7">
        <v>14517</v>
      </c>
    </row>
    <row r="26" spans="1:16" ht="14.1" customHeight="1" x14ac:dyDescent="0.2">
      <c r="A26" s="64" t="s">
        <v>36</v>
      </c>
      <c r="B26" s="7">
        <v>39000</v>
      </c>
    </row>
    <row r="27" spans="1:16" ht="12.95" customHeight="1" x14ac:dyDescent="0.2">
      <c r="A27" s="64" t="s">
        <v>34</v>
      </c>
      <c r="B27" s="7">
        <v>190350</v>
      </c>
    </row>
    <row r="28" spans="1:16" ht="12.95" customHeight="1" x14ac:dyDescent="0.2">
      <c r="A28" s="64" t="s">
        <v>25</v>
      </c>
      <c r="B28" s="7">
        <v>3558736.69</v>
      </c>
    </row>
    <row r="29" spans="1:16" ht="14.1" customHeight="1" x14ac:dyDescent="0.2">
      <c r="A29" s="64" t="s">
        <v>31</v>
      </c>
      <c r="B29" s="7">
        <v>949962.12999999989</v>
      </c>
    </row>
    <row r="30" spans="1:16" ht="12.95" customHeight="1" x14ac:dyDescent="0.2">
      <c r="A30" s="86" t="s">
        <v>35</v>
      </c>
      <c r="B30" s="7">
        <v>73846.37999999999</v>
      </c>
    </row>
    <row r="31" spans="1:16" ht="12.95" customHeight="1" x14ac:dyDescent="0.2">
      <c r="A31" s="63" t="s">
        <v>67</v>
      </c>
      <c r="B31" s="7">
        <v>73000</v>
      </c>
    </row>
    <row r="32" spans="1:16" ht="14.1" customHeight="1" x14ac:dyDescent="0.2">
      <c r="A32" s="63" t="s">
        <v>61</v>
      </c>
      <c r="B32" s="7">
        <v>923476.99999999977</v>
      </c>
    </row>
    <row r="33" spans="1:2" ht="12.95" customHeight="1" x14ac:dyDescent="0.2">
      <c r="A33" s="63" t="s">
        <v>24</v>
      </c>
      <c r="B33" s="7">
        <v>538000</v>
      </c>
    </row>
    <row r="34" spans="1:2" ht="12.95" customHeight="1" x14ac:dyDescent="0.2">
      <c r="A34" s="87" t="s">
        <v>26</v>
      </c>
      <c r="B34" s="7">
        <v>30754.1</v>
      </c>
    </row>
    <row r="35" spans="1:2" ht="33.950000000000003" customHeight="1" x14ac:dyDescent="0.2">
      <c r="A35" s="43" t="s">
        <v>77</v>
      </c>
      <c r="B35" s="7">
        <v>30000</v>
      </c>
    </row>
    <row r="36" spans="1:2" ht="12.95" customHeight="1" x14ac:dyDescent="0.2">
      <c r="A36" s="64" t="s">
        <v>27</v>
      </c>
      <c r="B36" s="7">
        <v>955164.1</v>
      </c>
    </row>
    <row r="37" spans="1:2" ht="12.95" customHeight="1" x14ac:dyDescent="0.2">
      <c r="B37" s="7">
        <f>SUM(B21:B36)</f>
        <v>9313910.0299999993</v>
      </c>
    </row>
    <row r="38" spans="1:2" ht="14.1" customHeight="1" x14ac:dyDescent="0.2"/>
    <row r="39" spans="1:2" ht="12.95" customHeight="1" x14ac:dyDescent="0.2"/>
    <row r="40" spans="1:2" ht="12.95" customHeight="1" x14ac:dyDescent="0.2"/>
    <row r="41" spans="1:2" ht="14.1" customHeight="1" x14ac:dyDescent="0.2"/>
    <row r="42" spans="1:2" ht="12.95" customHeight="1" x14ac:dyDescent="0.2"/>
    <row r="43" spans="1:2" ht="12.95" customHeight="1" x14ac:dyDescent="0.2"/>
    <row r="44" spans="1:2" ht="14.1" customHeight="1" x14ac:dyDescent="0.2"/>
  </sheetData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 о поступл. и расх. д.с.</vt:lpstr>
      <vt:lpstr>отчет о расх д.с. </vt:lpstr>
      <vt:lpstr>разное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</cp:lastModifiedBy>
  <cp:lastPrinted>2016-03-14T17:47:26Z</cp:lastPrinted>
  <dcterms:created xsi:type="dcterms:W3CDTF">2012-03-24T14:03:21Z</dcterms:created>
  <dcterms:modified xsi:type="dcterms:W3CDTF">2024-03-15T12:39:21Z</dcterms:modified>
</cp:coreProperties>
</file>