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ПОДГОТОВКА К СОБРАНИЮ 23 год\Отчетные документы\"/>
    </mc:Choice>
  </mc:AlternateContent>
  <bookViews>
    <workbookView xWindow="0" yWindow="0" windowWidth="19200" windowHeight="11550"/>
  </bookViews>
  <sheets>
    <sheet name="отчет о поступл. и расх. д.с." sheetId="3" r:id="rId1"/>
    <sheet name="отчет о расх д.с. " sheetId="4" r:id="rId2"/>
    <sheet name="разное" sheetId="6" r:id="rId3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D15" i="4"/>
  <c r="F15" i="4"/>
  <c r="C16" i="6"/>
  <c r="K15" i="4"/>
  <c r="J16" i="6"/>
  <c r="M15" i="6"/>
  <c r="J15" i="6"/>
  <c r="O14" i="4"/>
  <c r="C14" i="4"/>
  <c r="K14" i="4"/>
  <c r="C13" i="4"/>
  <c r="D13" i="4"/>
  <c r="J14" i="6"/>
  <c r="F13" i="4"/>
  <c r="M14" i="6"/>
  <c r="K13" i="4"/>
  <c r="C12" i="4"/>
  <c r="D12" i="4"/>
  <c r="E12" i="4"/>
  <c r="F12" i="4"/>
  <c r="J13" i="6"/>
  <c r="M13" i="6"/>
  <c r="K12" i="4"/>
  <c r="C11" i="4"/>
  <c r="J12" i="6"/>
  <c r="D11" i="4"/>
  <c r="K11" i="4"/>
  <c r="F10" i="4"/>
  <c r="P10" i="4"/>
  <c r="C10" i="4"/>
  <c r="J11" i="6"/>
  <c r="K10" i="4"/>
  <c r="D9" i="4"/>
  <c r="F9" i="4"/>
  <c r="J10" i="6"/>
  <c r="N10" i="6"/>
  <c r="C9" i="4"/>
  <c r="M10" i="6"/>
  <c r="N9" i="4"/>
  <c r="K9" i="4"/>
  <c r="E8" i="4"/>
  <c r="F8" i="4"/>
  <c r="J9" i="6"/>
  <c r="C8" i="4"/>
  <c r="N8" i="4"/>
  <c r="K8" i="4"/>
  <c r="D7" i="4"/>
  <c r="F7" i="4"/>
  <c r="J8" i="6"/>
  <c r="C7" i="4"/>
  <c r="N7" i="4"/>
  <c r="K7" i="4"/>
  <c r="C5" i="4"/>
  <c r="E5" i="4"/>
  <c r="B6" i="6"/>
  <c r="J6" i="6"/>
  <c r="J7" i="6"/>
  <c r="J4" i="4"/>
  <c r="N4" i="4"/>
  <c r="B5" i="6"/>
  <c r="C4" i="4"/>
  <c r="F4" i="4"/>
  <c r="D5" i="4"/>
  <c r="F6" i="4"/>
  <c r="C6" i="4"/>
  <c r="N6" i="4"/>
  <c r="K6" i="4"/>
  <c r="F5" i="4"/>
  <c r="N5" i="4"/>
  <c r="K5" i="4"/>
  <c r="D4" i="4"/>
  <c r="G4" i="4"/>
  <c r="K4" i="4"/>
  <c r="L4" i="4"/>
  <c r="R5" i="6"/>
  <c r="Q4" i="4"/>
  <c r="R6" i="6"/>
  <c r="Q5" i="4"/>
  <c r="R7" i="6"/>
  <c r="Q6" i="4"/>
  <c r="R8" i="6"/>
  <c r="Q7" i="4"/>
  <c r="R9" i="6"/>
  <c r="Q8" i="4"/>
  <c r="R10" i="6"/>
  <c r="Q9" i="4"/>
  <c r="R11" i="6"/>
  <c r="Q10" i="4"/>
  <c r="R12" i="6"/>
  <c r="Q11" i="4"/>
  <c r="R13" i="6"/>
  <c r="Q12" i="4"/>
  <c r="R14" i="6"/>
  <c r="Q13" i="4"/>
  <c r="R15" i="6"/>
  <c r="Q14" i="4"/>
  <c r="R16" i="6"/>
  <c r="Q15" i="4"/>
  <c r="R8" i="4"/>
  <c r="C16" i="4"/>
  <c r="Q16" i="4"/>
  <c r="F16" i="4"/>
  <c r="E16" i="4"/>
  <c r="M16" i="4"/>
  <c r="L16" i="4"/>
  <c r="D16" i="4"/>
  <c r="I16" i="4"/>
  <c r="K16" i="4"/>
  <c r="O16" i="4"/>
  <c r="J16" i="4"/>
  <c r="P16" i="4"/>
  <c r="N16" i="4"/>
  <c r="H16" i="4"/>
  <c r="G16" i="4"/>
  <c r="R16" i="4"/>
  <c r="H43" i="3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R15" i="4"/>
  <c r="R14" i="4"/>
  <c r="R13" i="4"/>
  <c r="R9" i="4"/>
  <c r="R6" i="4"/>
  <c r="R5" i="4"/>
  <c r="R7" i="4"/>
  <c r="R10" i="4"/>
  <c r="R11" i="4"/>
  <c r="R12" i="4"/>
  <c r="R4" i="4"/>
  <c r="E7" i="3"/>
  <c r="E10" i="3"/>
  <c r="E13" i="3"/>
  <c r="E16" i="3"/>
  <c r="E19" i="3"/>
  <c r="E22" i="3"/>
  <c r="E25" i="3"/>
  <c r="E28" i="3"/>
  <c r="E31" i="3"/>
  <c r="E34" i="3"/>
  <c r="E37" i="3"/>
  <c r="E40" i="3"/>
  <c r="E43" i="3"/>
  <c r="H45" i="3"/>
  <c r="D2" i="3"/>
  <c r="C43" i="3"/>
  <c r="D43" i="3"/>
  <c r="H48" i="3"/>
</calcChain>
</file>

<file path=xl/sharedStrings.xml><?xml version="1.0" encoding="utf-8"?>
<sst xmlns="http://schemas.openxmlformats.org/spreadsheetml/2006/main" count="114" uniqueCount="93">
  <si>
    <t>№ п/п</t>
  </si>
  <si>
    <t>Месяцы</t>
  </si>
  <si>
    <t>Поступило денежных средств</t>
  </si>
  <si>
    <t>№</t>
  </si>
  <si>
    <t>Расходы</t>
  </si>
  <si>
    <t>Сумма</t>
  </si>
  <si>
    <t>от населен.</t>
  </si>
  <si>
    <t>Всего (руб)</t>
  </si>
  <si>
    <t>п/п</t>
  </si>
  <si>
    <t>по статьям</t>
  </si>
  <si>
    <t>(руб.)</t>
  </si>
  <si>
    <t>Сбербанк</t>
  </si>
  <si>
    <t>НДФЛ 13%</t>
  </si>
  <si>
    <t>Итого</t>
  </si>
  <si>
    <t xml:space="preserve"> </t>
  </si>
  <si>
    <t>ИТОГО:</t>
  </si>
  <si>
    <t>Месяц</t>
  </si>
  <si>
    <t>З/п и хоз. нужды</t>
  </si>
  <si>
    <t>итого</t>
  </si>
  <si>
    <t>Л И С Т    1</t>
  </si>
  <si>
    <t>Л И С Т    2</t>
  </si>
  <si>
    <t>Председатель ТСЖ "Собственный"</t>
  </si>
  <si>
    <t>Долгополов И.В.</t>
  </si>
  <si>
    <t>ЖК "Инициатива"</t>
  </si>
  <si>
    <t>ООО "Севзаплифтсервис"</t>
  </si>
  <si>
    <t>ООО "Петербургтеплоэнерго"</t>
  </si>
  <si>
    <t>ООО "СЦ "Эльтон"</t>
  </si>
  <si>
    <t>РАЗНОЕ</t>
  </si>
  <si>
    <t>МЕСЯЦ</t>
  </si>
  <si>
    <t xml:space="preserve">Председатель правления ТСЖ "Собственный"                                                          </t>
  </si>
  <si>
    <t>Расшифровка "РАЗНОЕ"</t>
  </si>
  <si>
    <t>ГУП "Водоканал СПб"</t>
  </si>
  <si>
    <t>в т.ч. пени</t>
  </si>
  <si>
    <t>Налог УСН</t>
  </si>
  <si>
    <t>Телекомпания КТВ</t>
  </si>
  <si>
    <t>ООО "ПСК"</t>
  </si>
  <si>
    <t>ООО "Эллис НТ"</t>
  </si>
  <si>
    <t>л.с. 40703 810 0 5524000 0120</t>
  </si>
  <si>
    <t>Зарплата и хоз.нужды</t>
  </si>
  <si>
    <t>НДФЛ - 13 %</t>
  </si>
  <si>
    <t>Услуги Сбербанка</t>
  </si>
  <si>
    <t>Налоги УСН</t>
  </si>
  <si>
    <t>Расчетно-кассовое обслуживание (кваитанции)</t>
  </si>
  <si>
    <t>Кабельное телевидение</t>
  </si>
  <si>
    <t>Отоплеение, ГВС</t>
  </si>
  <si>
    <t>Обслуживание ПЗУ</t>
  </si>
  <si>
    <t>Электроснабжение МОП</t>
  </si>
  <si>
    <t>Обслуживание УУТЭ</t>
  </si>
  <si>
    <t>ТО лифтов</t>
  </si>
  <si>
    <t>См. расшифровка РАЗНОЕ</t>
  </si>
  <si>
    <t>ЗАО "Инженерный центр "КПЛ"</t>
  </si>
  <si>
    <t>Страх. взносы</t>
  </si>
  <si>
    <t>Техническое освидетельствование лифтов.</t>
  </si>
  <si>
    <t>ООО "Учебный центр "ПЕРСПЕКТИВА"</t>
  </si>
  <si>
    <t>Леруа Мерлен</t>
  </si>
  <si>
    <t>ООО "СеврерСтрой"</t>
  </si>
  <si>
    <t>Водоотведение, водоснабжение</t>
  </si>
  <si>
    <t>Налоги в ФСС, ПФР, ИФНС</t>
  </si>
  <si>
    <t xml:space="preserve">Обучение персонала </t>
  </si>
  <si>
    <t>Вывоз мусора</t>
  </si>
  <si>
    <t>ООО Сатурн СПБ</t>
  </si>
  <si>
    <t>ООО "ЭНЕРГООПТ"</t>
  </si>
  <si>
    <t>ООО "Аргос Учет"</t>
  </si>
  <si>
    <t>ООО "ИнжТехКомплект""</t>
  </si>
  <si>
    <t>Светильники</t>
  </si>
  <si>
    <t>Хоз.товары, строй.товары</t>
  </si>
  <si>
    <t>Строй.материалы</t>
  </si>
  <si>
    <t>Программа 1с</t>
  </si>
  <si>
    <t>Остаток на 28.02.2023 г.</t>
  </si>
  <si>
    <t xml:space="preserve">   Отчет о поступлении и расходовании денежных средств по ТСЖ "Собственный" с 01.03.2022 г. по 28.02.2023 г.</t>
  </si>
  <si>
    <t xml:space="preserve">                      Остаток на 01.03.2022 г. - </t>
  </si>
  <si>
    <t>ОТЧЕТ О РАСХОДОВАНИИ ДЕНЕЖНЫХ СРЕДСТВ ПО ТСЖ "Собственный" за 2022 - 2023 года</t>
  </si>
  <si>
    <t>АО "Невский экологический оператор"</t>
  </si>
  <si>
    <t>Почта россии</t>
  </si>
  <si>
    <t>ИП Блохин Роман Андреевич</t>
  </si>
  <si>
    <t>ООО "ТД Каскад"</t>
  </si>
  <si>
    <t xml:space="preserve">ИП Титова Наталья Владимировна
</t>
  </si>
  <si>
    <t>ООО "Экспресс сервис МСК"</t>
  </si>
  <si>
    <t>ИП Казиева Татьяна Леонидовна</t>
  </si>
  <si>
    <t>ИП Жукаускас Марюс Витауто</t>
  </si>
  <si>
    <t>ИП Черный</t>
  </si>
  <si>
    <t>ООО "Роторика"</t>
  </si>
  <si>
    <t>Оплата за пресс</t>
  </si>
  <si>
    <t>Почтовые отправления</t>
  </si>
  <si>
    <t>Ремонт офиса ТСЖ</t>
  </si>
  <si>
    <t>Кран шаровый фланец</t>
  </si>
  <si>
    <t>Подготолвка дома к отопительному сезону</t>
  </si>
  <si>
    <t>Электромонтажные работы офиса</t>
  </si>
  <si>
    <t>Мебель в офис</t>
  </si>
  <si>
    <t>Ремонт подъездов</t>
  </si>
  <si>
    <t>Ремонт компьютера</t>
  </si>
  <si>
    <t>,кабель</t>
  </si>
  <si>
    <t>Гидроизол, мастика для кровли.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</si>
</sst>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[$-419]mmmm\ yyyy;@"/>
  </numFmts>
  <fonts count="17" x14ac:knownFonts="1">
    <font>
      <sz val="10"/>
      <name val="Arial"/>
      <family val="2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62"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left" vertical="center" wrapText="1"/>
    </xf>
    <xf numFmtId="4" fontId="1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3" fillId="0" borderId="7" xfId="0" applyNumberFormat="1" applyFont="1" applyBorder="1"/>
    <xf numFmtId="4" fontId="3" fillId="0" borderId="1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0" fontId="3" fillId="0" borderId="9" xfId="0" applyFont="1" applyBorder="1"/>
    <xf numFmtId="0" fontId="9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wrapText="1"/>
    </xf>
    <xf numFmtId="0" fontId="1" fillId="0" borderId="13" xfId="0" applyFont="1" applyBorder="1"/>
    <xf numFmtId="165" fontId="9" fillId="0" borderId="13" xfId="1" applyFont="1" applyFill="1" applyBorder="1" applyAlignment="1" applyProtection="1">
      <alignment horizontal="center"/>
    </xf>
    <xf numFmtId="4" fontId="3" fillId="0" borderId="14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2" fillId="2" borderId="0" xfId="0" applyFont="1" applyFill="1"/>
    <xf numFmtId="0" fontId="6" fillId="0" borderId="6" xfId="0" applyFont="1" applyBorder="1"/>
    <xf numFmtId="0" fontId="3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166" fontId="13" fillId="0" borderId="12" xfId="0" applyNumberFormat="1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" fillId="0" borderId="26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" fontId="2" fillId="2" borderId="0" xfId="0" applyNumberFormat="1" applyFont="1" applyFill="1"/>
    <xf numFmtId="0" fontId="2" fillId="2" borderId="33" xfId="0" applyFont="1" applyFill="1" applyBorder="1"/>
    <xf numFmtId="4" fontId="2" fillId="2" borderId="33" xfId="0" applyNumberFormat="1" applyFont="1" applyFill="1" applyBorder="1"/>
    <xf numFmtId="166" fontId="5" fillId="0" borderId="10" xfId="0" applyNumberFormat="1" applyFont="1" applyBorder="1" applyAlignment="1">
      <alignment horizontal="left" vertical="center" wrapText="1"/>
    </xf>
    <xf numFmtId="166" fontId="13" fillId="0" borderId="34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0" fillId="0" borderId="0" xfId="0" applyFont="1"/>
    <xf numFmtId="4" fontId="3" fillId="0" borderId="38" xfId="0" applyNumberFormat="1" applyFont="1" applyBorder="1" applyAlignment="1">
      <alignment wrapText="1"/>
    </xf>
    <xf numFmtId="0" fontId="3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5" fontId="2" fillId="2" borderId="41" xfId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165" fontId="9" fillId="0" borderId="42" xfId="1" applyFont="1" applyFill="1" applyBorder="1" applyAlignment="1" applyProtection="1">
      <alignment horizontal="center"/>
    </xf>
    <xf numFmtId="0" fontId="9" fillId="0" borderId="7" xfId="0" applyFont="1" applyBorder="1" applyAlignment="1">
      <alignment vertical="center" wrapText="1"/>
    </xf>
    <xf numFmtId="0" fontId="2" fillId="0" borderId="43" xfId="0" applyFont="1" applyBorder="1"/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165" fontId="9" fillId="0" borderId="13" xfId="1" applyFont="1" applyFill="1" applyBorder="1" applyAlignment="1" applyProtection="1">
      <alignment vertic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left"/>
    </xf>
    <xf numFmtId="0" fontId="9" fillId="0" borderId="48" xfId="1" applyNumberFormat="1" applyFont="1" applyFill="1" applyBorder="1" applyAlignment="1" applyProtection="1">
      <alignment vertical="center"/>
    </xf>
    <xf numFmtId="0" fontId="9" fillId="0" borderId="49" xfId="1" applyNumberFormat="1" applyFont="1" applyFill="1" applyBorder="1" applyAlignment="1" applyProtection="1">
      <alignment vertical="center"/>
    </xf>
    <xf numFmtId="0" fontId="9" fillId="0" borderId="50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>
      <alignment horizontal="right" wrapText="1"/>
    </xf>
    <xf numFmtId="4" fontId="3" fillId="0" borderId="9" xfId="0" applyNumberFormat="1" applyFont="1" applyBorder="1"/>
    <xf numFmtId="4" fontId="3" fillId="4" borderId="5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4" fontId="3" fillId="0" borderId="52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horizontal="right"/>
    </xf>
    <xf numFmtId="4" fontId="3" fillId="0" borderId="53" xfId="0" applyNumberFormat="1" applyFont="1" applyBorder="1" applyAlignment="1">
      <alignment horizontal="right" vertical="center" wrapText="1"/>
    </xf>
    <xf numFmtId="0" fontId="9" fillId="0" borderId="54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/>
    </xf>
    <xf numFmtId="4" fontId="10" fillId="0" borderId="7" xfId="0" applyNumberFormat="1" applyFont="1" applyBorder="1"/>
    <xf numFmtId="4" fontId="4" fillId="0" borderId="55" xfId="0" applyNumberFormat="1" applyFont="1" applyBorder="1" applyAlignment="1">
      <alignment wrapText="1"/>
    </xf>
    <xf numFmtId="0" fontId="9" fillId="0" borderId="1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left"/>
    </xf>
    <xf numFmtId="4" fontId="3" fillId="6" borderId="9" xfId="0" applyNumberFormat="1" applyFont="1" applyFill="1" applyBorder="1"/>
    <xf numFmtId="0" fontId="4" fillId="6" borderId="24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" fontId="4" fillId="6" borderId="51" xfId="0" applyNumberFormat="1" applyFont="1" applyFill="1" applyBorder="1"/>
    <xf numFmtId="0" fontId="9" fillId="0" borderId="56" xfId="0" applyFont="1" applyBorder="1" applyAlignment="1">
      <alignment horizontal="left" vertical="center" wrapText="1"/>
    </xf>
    <xf numFmtId="4" fontId="9" fillId="0" borderId="56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3" fillId="6" borderId="11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0" xfId="0" applyFont="1"/>
    <xf numFmtId="0" fontId="9" fillId="0" borderId="3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4" fontId="4" fillId="0" borderId="57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9" fillId="0" borderId="52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left" vertical="center" wrapText="1"/>
    </xf>
    <xf numFmtId="4" fontId="1" fillId="0" borderId="7" xfId="0" applyNumberFormat="1" applyFont="1" applyBorder="1"/>
    <xf numFmtId="0" fontId="9" fillId="0" borderId="0" xfId="0" applyFont="1" applyAlignment="1">
      <alignment horizontal="left"/>
    </xf>
    <xf numFmtId="4" fontId="2" fillId="2" borderId="66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9" fillId="5" borderId="59" xfId="0" applyNumberFormat="1" applyFont="1" applyFill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5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6" fontId="2" fillId="0" borderId="59" xfId="0" applyNumberFormat="1" applyFont="1" applyBorder="1" applyAlignment="1">
      <alignment horizontal="left" vertical="center"/>
    </xf>
    <xf numFmtId="0" fontId="2" fillId="0" borderId="67" xfId="0" applyFont="1" applyBorder="1" applyAlignment="1">
      <alignment horizontal="center"/>
    </xf>
    <xf numFmtId="4" fontId="9" fillId="5" borderId="56" xfId="0" applyNumberFormat="1" applyFont="1" applyFill="1" applyBorder="1" applyAlignment="1">
      <alignment horizontal="center" vertical="center"/>
    </xf>
    <xf numFmtId="4" fontId="9" fillId="5" borderId="5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2" fillId="0" borderId="60" xfId="0" applyNumberFormat="1" applyFont="1" applyBorder="1" applyAlignment="1">
      <alignment horizontal="left" vertical="center"/>
    </xf>
    <xf numFmtId="166" fontId="2" fillId="0" borderId="56" xfId="0" applyNumberFormat="1" applyFont="1" applyBorder="1" applyAlignment="1">
      <alignment horizontal="left" vertical="center"/>
    </xf>
    <xf numFmtId="166" fontId="2" fillId="0" borderId="58" xfId="0" applyNumberFormat="1" applyFont="1" applyBorder="1" applyAlignment="1">
      <alignment horizontal="left" vertical="center"/>
    </xf>
    <xf numFmtId="4" fontId="9" fillId="0" borderId="61" xfId="0" applyNumberFormat="1" applyFont="1" applyBorder="1" applyAlignment="1">
      <alignment horizontal="center" vertical="center"/>
    </xf>
    <xf numFmtId="0" fontId="11" fillId="3" borderId="62" xfId="0" applyFont="1" applyFill="1" applyBorder="1" applyAlignment="1">
      <alignment horizontal="center"/>
    </xf>
    <xf numFmtId="0" fontId="10" fillId="3" borderId="63" xfId="0" applyFont="1" applyFill="1" applyBorder="1" applyAlignment="1">
      <alignment horizontal="center"/>
    </xf>
    <xf numFmtId="0" fontId="10" fillId="3" borderId="64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7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4" zoomScale="90" zoomScaleNormal="90" workbookViewId="0">
      <selection activeCell="H7" sqref="H7"/>
    </sheetView>
  </sheetViews>
  <sheetFormatPr defaultColWidth="8.85546875" defaultRowHeight="12.75" x14ac:dyDescent="0.2"/>
  <cols>
    <col min="1" max="1" width="4.7109375" customWidth="1"/>
    <col min="2" max="2" width="16.7109375" customWidth="1"/>
    <col min="3" max="3" width="21.28515625" customWidth="1"/>
    <col min="4" max="4" width="13.28515625" customWidth="1"/>
    <col min="5" max="5" width="24.42578125" customWidth="1"/>
    <col min="6" max="6" width="4.42578125" customWidth="1"/>
    <col min="7" max="7" width="47" customWidth="1"/>
    <col min="8" max="8" width="20.7109375" customWidth="1"/>
  </cols>
  <sheetData>
    <row r="1" spans="1:9" ht="18.75" x14ac:dyDescent="0.3">
      <c r="A1" s="141" t="s">
        <v>69</v>
      </c>
      <c r="B1" s="141"/>
      <c r="C1" s="141"/>
      <c r="D1" s="141"/>
      <c r="E1" s="141"/>
      <c r="F1" s="141"/>
      <c r="G1" s="141"/>
      <c r="H1" s="141"/>
    </row>
    <row r="2" spans="1:9" ht="17.25" customHeight="1" thickBot="1" x14ac:dyDescent="0.3">
      <c r="A2" s="26" t="s">
        <v>70</v>
      </c>
      <c r="B2" s="53"/>
      <c r="C2" s="53"/>
      <c r="D2" s="54">
        <f>SUM(D3:D3)</f>
        <v>1509501.66</v>
      </c>
      <c r="E2" s="26"/>
      <c r="F2" s="1"/>
      <c r="G2" s="1"/>
      <c r="H2" s="1"/>
    </row>
    <row r="3" spans="1:9" ht="17.25" customHeight="1" thickTop="1" thickBot="1" x14ac:dyDescent="0.3">
      <c r="A3" s="52"/>
      <c r="B3" s="52" t="s">
        <v>37</v>
      </c>
      <c r="C3" s="52"/>
      <c r="D3" s="52">
        <v>1509501.66</v>
      </c>
      <c r="E3" s="26"/>
      <c r="F3" s="1"/>
      <c r="G3" s="1"/>
      <c r="H3" s="1"/>
    </row>
    <row r="4" spans="1:9" ht="12.95" customHeight="1" thickBot="1" x14ac:dyDescent="0.25">
      <c r="A4" s="142" t="s">
        <v>0</v>
      </c>
      <c r="B4" s="143" t="s">
        <v>1</v>
      </c>
      <c r="C4" s="152" t="s">
        <v>2</v>
      </c>
      <c r="D4" s="153"/>
      <c r="E4" s="153"/>
      <c r="F4" s="57" t="s">
        <v>3</v>
      </c>
      <c r="G4" s="42" t="s">
        <v>4</v>
      </c>
      <c r="H4" s="28" t="s">
        <v>5</v>
      </c>
    </row>
    <row r="5" spans="1:9" ht="18.75" customHeight="1" thickBot="1" x14ac:dyDescent="0.3">
      <c r="A5" s="142"/>
      <c r="B5" s="144"/>
      <c r="C5" s="149" t="s">
        <v>37</v>
      </c>
      <c r="D5" s="150"/>
      <c r="E5" s="151"/>
      <c r="F5" s="58"/>
      <c r="G5" s="31" t="s">
        <v>37</v>
      </c>
      <c r="H5" s="29"/>
      <c r="I5" s="60"/>
    </row>
    <row r="6" spans="1:9" ht="15.75" thickBot="1" x14ac:dyDescent="0.25">
      <c r="A6" s="142"/>
      <c r="B6" s="144"/>
      <c r="C6" s="30" t="s">
        <v>6</v>
      </c>
      <c r="D6" s="32" t="s">
        <v>32</v>
      </c>
      <c r="E6" s="33" t="s">
        <v>7</v>
      </c>
      <c r="F6" s="58" t="s">
        <v>8</v>
      </c>
      <c r="G6" s="59" t="s">
        <v>9</v>
      </c>
      <c r="H6" s="62" t="s">
        <v>10</v>
      </c>
    </row>
    <row r="7" spans="1:9" ht="15.75" customHeight="1" thickBot="1" x14ac:dyDescent="0.3">
      <c r="A7" s="136">
        <v>1</v>
      </c>
      <c r="B7" s="145">
        <v>44621</v>
      </c>
      <c r="C7" s="148">
        <v>854935.94</v>
      </c>
      <c r="D7" s="139"/>
      <c r="E7" s="130">
        <f>C7</f>
        <v>854935.94</v>
      </c>
      <c r="F7" s="70">
        <v>1</v>
      </c>
      <c r="G7" s="125" t="s">
        <v>11</v>
      </c>
      <c r="H7" s="128">
        <v>33092.57</v>
      </c>
    </row>
    <row r="8" spans="1:9" ht="15.75" customHeight="1" thickBot="1" x14ac:dyDescent="0.3">
      <c r="A8" s="136"/>
      <c r="B8" s="146"/>
      <c r="C8" s="134"/>
      <c r="D8" s="139"/>
      <c r="E8" s="131"/>
      <c r="F8" s="71">
        <v>2</v>
      </c>
      <c r="G8" s="125" t="s">
        <v>17</v>
      </c>
      <c r="H8" s="128">
        <v>1336973.53</v>
      </c>
    </row>
    <row r="9" spans="1:9" ht="15.75" customHeight="1" thickBot="1" x14ac:dyDescent="0.3">
      <c r="A9" s="136"/>
      <c r="B9" s="147"/>
      <c r="C9" s="135"/>
      <c r="D9" s="140"/>
      <c r="E9" s="131"/>
      <c r="F9" s="71">
        <v>3</v>
      </c>
      <c r="G9" s="125" t="s">
        <v>12</v>
      </c>
      <c r="H9" s="128">
        <v>191594</v>
      </c>
    </row>
    <row r="10" spans="1:9" ht="15.75" customHeight="1" thickBot="1" x14ac:dyDescent="0.3">
      <c r="A10" s="136">
        <v>2</v>
      </c>
      <c r="B10" s="137">
        <v>44653</v>
      </c>
      <c r="C10" s="133">
        <v>833131.94</v>
      </c>
      <c r="D10" s="132"/>
      <c r="E10" s="130">
        <f>C10</f>
        <v>833131.94</v>
      </c>
      <c r="F10" s="71">
        <v>4</v>
      </c>
      <c r="G10" s="125" t="s">
        <v>51</v>
      </c>
      <c r="H10" s="128">
        <v>439950.14</v>
      </c>
    </row>
    <row r="11" spans="1:9" ht="15.75" customHeight="1" thickBot="1" x14ac:dyDescent="0.3">
      <c r="A11" s="136"/>
      <c r="B11" s="137"/>
      <c r="C11" s="134"/>
      <c r="D11" s="132"/>
      <c r="E11" s="131"/>
      <c r="F11" s="70">
        <v>5</v>
      </c>
      <c r="G11" s="125" t="s">
        <v>33</v>
      </c>
      <c r="H11" s="128">
        <v>14563.58</v>
      </c>
    </row>
    <row r="12" spans="1:9" ht="15.75" customHeight="1" thickBot="1" x14ac:dyDescent="0.3">
      <c r="A12" s="136"/>
      <c r="B12" s="137"/>
      <c r="C12" s="135"/>
      <c r="D12" s="132"/>
      <c r="E12" s="131"/>
      <c r="F12" s="71">
        <v>6</v>
      </c>
      <c r="G12" s="88" t="s">
        <v>36</v>
      </c>
      <c r="H12" s="128">
        <v>55228</v>
      </c>
    </row>
    <row r="13" spans="1:9" ht="15.75" customHeight="1" thickBot="1" x14ac:dyDescent="0.3">
      <c r="A13" s="136">
        <v>3</v>
      </c>
      <c r="B13" s="137">
        <v>44685</v>
      </c>
      <c r="C13" s="133">
        <v>770620.88</v>
      </c>
      <c r="D13" s="132"/>
      <c r="E13" s="130">
        <f>C13</f>
        <v>770620.88</v>
      </c>
      <c r="F13" s="71">
        <v>7</v>
      </c>
      <c r="G13" s="88" t="s">
        <v>34</v>
      </c>
      <c r="H13" s="128">
        <v>173250</v>
      </c>
    </row>
    <row r="14" spans="1:9" ht="15.75" customHeight="1" thickBot="1" x14ac:dyDescent="0.3">
      <c r="A14" s="136"/>
      <c r="B14" s="137"/>
      <c r="C14" s="134"/>
      <c r="D14" s="132"/>
      <c r="E14" s="131"/>
      <c r="F14" s="71">
        <v>8</v>
      </c>
      <c r="G14" s="88" t="s">
        <v>25</v>
      </c>
      <c r="H14" s="128">
        <v>3205460.5700000003</v>
      </c>
    </row>
    <row r="15" spans="1:9" ht="15.75" customHeight="1" thickBot="1" x14ac:dyDescent="0.3">
      <c r="A15" s="136"/>
      <c r="B15" s="137"/>
      <c r="C15" s="135"/>
      <c r="D15" s="132"/>
      <c r="E15" s="131"/>
      <c r="F15" s="70">
        <v>9</v>
      </c>
      <c r="G15" s="88" t="s">
        <v>31</v>
      </c>
      <c r="H15" s="128">
        <v>896686.21999999986</v>
      </c>
    </row>
    <row r="16" spans="1:9" ht="15.75" customHeight="1" thickBot="1" x14ac:dyDescent="0.3">
      <c r="A16" s="136">
        <v>4</v>
      </c>
      <c r="B16" s="137">
        <v>44717</v>
      </c>
      <c r="C16" s="133">
        <v>690116.38</v>
      </c>
      <c r="D16" s="132"/>
      <c r="E16" s="130">
        <f>C16</f>
        <v>690116.38</v>
      </c>
      <c r="F16" s="71">
        <v>10</v>
      </c>
      <c r="G16" s="126" t="s">
        <v>35</v>
      </c>
      <c r="H16" s="128">
        <v>83793.87000000001</v>
      </c>
    </row>
    <row r="17" spans="1:8" ht="15.75" customHeight="1" thickBot="1" x14ac:dyDescent="0.3">
      <c r="A17" s="136"/>
      <c r="B17" s="137"/>
      <c r="C17" s="134"/>
      <c r="D17" s="132"/>
      <c r="E17" s="131"/>
      <c r="F17" s="71">
        <v>11</v>
      </c>
      <c r="G17" s="125" t="s">
        <v>55</v>
      </c>
      <c r="H17" s="128">
        <v>33000</v>
      </c>
    </row>
    <row r="18" spans="1:8" ht="15.75" customHeight="1" thickBot="1" x14ac:dyDescent="0.3">
      <c r="A18" s="136"/>
      <c r="B18" s="137"/>
      <c r="C18" s="135"/>
      <c r="D18" s="132"/>
      <c r="E18" s="131"/>
      <c r="F18" s="71">
        <v>12</v>
      </c>
      <c r="G18" s="125" t="s">
        <v>23</v>
      </c>
      <c r="H18" s="128">
        <v>837893.31999999983</v>
      </c>
    </row>
    <row r="19" spans="1:8" ht="15.75" customHeight="1" thickBot="1" x14ac:dyDescent="0.3">
      <c r="A19" s="136">
        <v>5</v>
      </c>
      <c r="B19" s="137">
        <v>44749</v>
      </c>
      <c r="C19" s="133">
        <v>732774.31</v>
      </c>
      <c r="D19" s="132"/>
      <c r="E19" s="130">
        <f>C19</f>
        <v>732774.31</v>
      </c>
      <c r="F19" s="70">
        <v>13</v>
      </c>
      <c r="G19" s="125" t="s">
        <v>24</v>
      </c>
      <c r="H19" s="128">
        <v>446644.56</v>
      </c>
    </row>
    <row r="20" spans="1:8" ht="15.75" customHeight="1" thickBot="1" x14ac:dyDescent="0.3">
      <c r="A20" s="136"/>
      <c r="B20" s="137"/>
      <c r="C20" s="134"/>
      <c r="D20" s="132"/>
      <c r="E20" s="131"/>
      <c r="F20" s="71">
        <v>14</v>
      </c>
      <c r="G20" s="125" t="s">
        <v>26</v>
      </c>
      <c r="H20" s="128">
        <v>34266</v>
      </c>
    </row>
    <row r="21" spans="1:8" ht="15.75" customHeight="1" thickBot="1" x14ac:dyDescent="0.3">
      <c r="A21" s="136"/>
      <c r="B21" s="137"/>
      <c r="C21" s="135"/>
      <c r="D21" s="132"/>
      <c r="E21" s="131"/>
      <c r="F21" s="71">
        <v>15</v>
      </c>
      <c r="G21" s="88" t="s">
        <v>27</v>
      </c>
      <c r="H21" s="128">
        <v>1769204.53</v>
      </c>
    </row>
    <row r="22" spans="1:8" ht="15.75" customHeight="1" thickBot="1" x14ac:dyDescent="0.3">
      <c r="A22" s="136">
        <v>6</v>
      </c>
      <c r="B22" s="137">
        <v>44781</v>
      </c>
      <c r="C22" s="133">
        <v>522850.53</v>
      </c>
      <c r="D22" s="132"/>
      <c r="E22" s="130">
        <f>C22</f>
        <v>522850.53</v>
      </c>
      <c r="F22" s="71">
        <v>16</v>
      </c>
      <c r="G22" s="127"/>
      <c r="H22" s="102"/>
    </row>
    <row r="23" spans="1:8" ht="15.75" customHeight="1" thickBot="1" x14ac:dyDescent="0.3">
      <c r="A23" s="136"/>
      <c r="B23" s="137"/>
      <c r="C23" s="134"/>
      <c r="D23" s="132"/>
      <c r="E23" s="131"/>
      <c r="F23" s="70">
        <v>17</v>
      </c>
      <c r="G23" s="100"/>
      <c r="H23" s="101"/>
    </row>
    <row r="24" spans="1:8" ht="15.75" customHeight="1" thickBot="1" x14ac:dyDescent="0.3">
      <c r="A24" s="136"/>
      <c r="B24" s="137"/>
      <c r="C24" s="135"/>
      <c r="D24" s="132"/>
      <c r="E24" s="131"/>
      <c r="F24" s="71">
        <v>18</v>
      </c>
      <c r="G24" s="92"/>
      <c r="H24" s="94"/>
    </row>
    <row r="25" spans="1:8" ht="15.75" customHeight="1" thickBot="1" x14ac:dyDescent="0.3">
      <c r="A25" s="136">
        <v>7</v>
      </c>
      <c r="B25" s="137">
        <v>44813</v>
      </c>
      <c r="C25" s="133">
        <v>542582.29</v>
      </c>
      <c r="D25" s="132"/>
      <c r="E25" s="130">
        <f>C25</f>
        <v>542582.29</v>
      </c>
      <c r="F25" s="71">
        <v>19</v>
      </c>
      <c r="G25" s="93"/>
      <c r="H25" s="94"/>
    </row>
    <row r="26" spans="1:8" ht="15.75" customHeight="1" thickBot="1" x14ac:dyDescent="0.3">
      <c r="A26" s="136"/>
      <c r="B26" s="137"/>
      <c r="C26" s="134"/>
      <c r="D26" s="132"/>
      <c r="E26" s="131"/>
      <c r="F26" s="71">
        <v>20</v>
      </c>
      <c r="G26" s="93"/>
      <c r="H26" s="94"/>
    </row>
    <row r="27" spans="1:8" ht="15" customHeight="1" thickBot="1" x14ac:dyDescent="0.3">
      <c r="A27" s="136"/>
      <c r="B27" s="137"/>
      <c r="C27" s="135"/>
      <c r="D27" s="132"/>
      <c r="E27" s="131"/>
      <c r="F27" s="70">
        <v>21</v>
      </c>
      <c r="G27" s="95"/>
      <c r="H27" s="94"/>
    </row>
    <row r="28" spans="1:8" ht="15.75" customHeight="1" thickBot="1" x14ac:dyDescent="0.3">
      <c r="A28" s="136">
        <v>8</v>
      </c>
      <c r="B28" s="137">
        <v>44845</v>
      </c>
      <c r="C28" s="133">
        <v>604689.86</v>
      </c>
      <c r="D28" s="132"/>
      <c r="E28" s="130">
        <f>C28</f>
        <v>604689.86</v>
      </c>
      <c r="F28" s="71">
        <v>22</v>
      </c>
      <c r="G28" s="88"/>
      <c r="H28" s="90"/>
    </row>
    <row r="29" spans="1:8" ht="15.75" customHeight="1" thickBot="1" x14ac:dyDescent="0.3">
      <c r="A29" s="136"/>
      <c r="B29" s="137"/>
      <c r="C29" s="134"/>
      <c r="D29" s="132"/>
      <c r="E29" s="131"/>
      <c r="F29" s="71">
        <v>23</v>
      </c>
      <c r="G29" s="88"/>
      <c r="H29" s="90"/>
    </row>
    <row r="30" spans="1:8" ht="15.75" customHeight="1" thickBot="1" x14ac:dyDescent="0.3">
      <c r="A30" s="136"/>
      <c r="B30" s="137"/>
      <c r="C30" s="135"/>
      <c r="D30" s="132"/>
      <c r="E30" s="131"/>
      <c r="F30" s="71"/>
      <c r="G30" s="88"/>
      <c r="H30" s="90"/>
    </row>
    <row r="31" spans="1:8" ht="15.75" customHeight="1" thickBot="1" x14ac:dyDescent="0.3">
      <c r="A31" s="136">
        <v>9</v>
      </c>
      <c r="B31" s="137">
        <v>44877</v>
      </c>
      <c r="C31" s="133">
        <v>669218.31000000006</v>
      </c>
      <c r="D31" s="132"/>
      <c r="E31" s="130">
        <f>C31</f>
        <v>669218.31000000006</v>
      </c>
      <c r="F31" s="71"/>
      <c r="G31" s="89"/>
      <c r="H31" s="90"/>
    </row>
    <row r="32" spans="1:8" ht="15.75" customHeight="1" thickBot="1" x14ac:dyDescent="0.3">
      <c r="A32" s="136"/>
      <c r="B32" s="137"/>
      <c r="C32" s="134"/>
      <c r="D32" s="132"/>
      <c r="E32" s="131"/>
      <c r="F32" s="71"/>
      <c r="G32" s="68"/>
      <c r="H32" s="72"/>
    </row>
    <row r="33" spans="1:8" ht="15.75" customHeight="1" thickBot="1" x14ac:dyDescent="0.25">
      <c r="A33" s="136"/>
      <c r="B33" s="137"/>
      <c r="C33" s="135"/>
      <c r="D33" s="132"/>
      <c r="E33" s="131"/>
      <c r="F33" s="77"/>
      <c r="G33" s="68"/>
      <c r="H33" s="72"/>
    </row>
    <row r="34" spans="1:8" ht="15.75" customHeight="1" thickBot="1" x14ac:dyDescent="0.25">
      <c r="A34" s="136">
        <v>10</v>
      </c>
      <c r="B34" s="137">
        <v>44909</v>
      </c>
      <c r="C34" s="133">
        <v>854527.17</v>
      </c>
      <c r="D34" s="132"/>
      <c r="E34" s="130">
        <f>C34</f>
        <v>854527.17</v>
      </c>
      <c r="F34" s="75"/>
      <c r="G34" s="68"/>
      <c r="H34" s="72"/>
    </row>
    <row r="35" spans="1:8" ht="15.75" customHeight="1" thickBot="1" x14ac:dyDescent="0.25">
      <c r="A35" s="136"/>
      <c r="B35" s="137"/>
      <c r="C35" s="134"/>
      <c r="D35" s="132"/>
      <c r="E35" s="131"/>
      <c r="F35" s="76"/>
      <c r="G35" s="68"/>
      <c r="H35" s="72"/>
    </row>
    <row r="36" spans="1:8" ht="15.75" customHeight="1" thickBot="1" x14ac:dyDescent="0.3">
      <c r="A36" s="136"/>
      <c r="B36" s="137"/>
      <c r="C36" s="135"/>
      <c r="D36" s="132"/>
      <c r="E36" s="131"/>
      <c r="F36" s="71"/>
      <c r="G36" s="65"/>
      <c r="H36" s="22"/>
    </row>
    <row r="37" spans="1:8" ht="15.75" customHeight="1" thickBot="1" x14ac:dyDescent="0.3">
      <c r="A37" s="136">
        <v>11</v>
      </c>
      <c r="B37" s="137">
        <v>44941</v>
      </c>
      <c r="C37" s="133">
        <v>870177.12</v>
      </c>
      <c r="D37" s="132"/>
      <c r="E37" s="130">
        <f>C37</f>
        <v>870177.12</v>
      </c>
      <c r="F37" s="71"/>
      <c r="G37" s="65"/>
      <c r="H37" s="23"/>
    </row>
    <row r="38" spans="1:8" ht="15.75" customHeight="1" thickBot="1" x14ac:dyDescent="0.3">
      <c r="A38" s="136"/>
      <c r="B38" s="137"/>
      <c r="C38" s="134"/>
      <c r="D38" s="132"/>
      <c r="E38" s="131"/>
      <c r="F38" s="71"/>
      <c r="G38" s="66"/>
      <c r="H38" s="23"/>
    </row>
    <row r="39" spans="1:8" ht="15.75" customHeight="1" thickBot="1" x14ac:dyDescent="0.3">
      <c r="A39" s="136"/>
      <c r="B39" s="137"/>
      <c r="C39" s="135"/>
      <c r="D39" s="132"/>
      <c r="E39" s="131"/>
      <c r="F39" s="71"/>
      <c r="G39" s="66"/>
      <c r="H39" s="23"/>
    </row>
    <row r="40" spans="1:8" ht="15.75" customHeight="1" thickBot="1" x14ac:dyDescent="0.3">
      <c r="A40" s="136">
        <v>12</v>
      </c>
      <c r="B40" s="137">
        <v>44973</v>
      </c>
      <c r="C40" s="133">
        <v>860084.04</v>
      </c>
      <c r="D40" s="132"/>
      <c r="E40" s="130">
        <f>C40</f>
        <v>860084.04</v>
      </c>
      <c r="F40" s="71"/>
      <c r="G40" s="66"/>
      <c r="H40" s="23"/>
    </row>
    <row r="41" spans="1:8" ht="15.75" customHeight="1" thickBot="1" x14ac:dyDescent="0.3">
      <c r="A41" s="136"/>
      <c r="B41" s="137"/>
      <c r="C41" s="134"/>
      <c r="D41" s="132"/>
      <c r="E41" s="131"/>
      <c r="F41" s="71"/>
      <c r="G41" s="66"/>
      <c r="H41" s="23"/>
    </row>
    <row r="42" spans="1:8" ht="15.75" customHeight="1" thickBot="1" x14ac:dyDescent="0.3">
      <c r="A42" s="136"/>
      <c r="B42" s="137"/>
      <c r="C42" s="135"/>
      <c r="D42" s="132"/>
      <c r="E42" s="131"/>
      <c r="F42" s="73"/>
      <c r="G42" s="74"/>
      <c r="H42" s="67"/>
    </row>
    <row r="43" spans="1:8" ht="16.5" thickBot="1" x14ac:dyDescent="0.3">
      <c r="A43" s="138" t="s">
        <v>13</v>
      </c>
      <c r="B43" s="138"/>
      <c r="C43" s="10">
        <f>SUM(C7:C42)</f>
        <v>8805708.7699999996</v>
      </c>
      <c r="D43" s="10">
        <f>SUM(D7:D42)</f>
        <v>0</v>
      </c>
      <c r="E43" s="11">
        <f>SUM(E7:E42)</f>
        <v>8805708.7699999996</v>
      </c>
      <c r="F43" s="69" t="s">
        <v>14</v>
      </c>
      <c r="G43" s="63" t="s">
        <v>15</v>
      </c>
      <c r="H43" s="64">
        <f>'отчет о расх д.с. '!R16</f>
        <v>9551600.8900000006</v>
      </c>
    </row>
    <row r="44" spans="1:8" ht="17.25" customHeight="1" x14ac:dyDescent="0.3">
      <c r="A44" s="2"/>
      <c r="B44" s="3"/>
      <c r="C44" s="3"/>
      <c r="D44" s="3"/>
      <c r="E44" s="27"/>
    </row>
    <row r="45" spans="1:8" ht="17.25" customHeight="1" thickBot="1" x14ac:dyDescent="0.35">
      <c r="A45" s="2"/>
      <c r="B45" s="3"/>
      <c r="C45" s="3"/>
      <c r="D45" s="3"/>
      <c r="E45" s="8"/>
      <c r="F45" s="8"/>
      <c r="G45" s="9" t="s">
        <v>37</v>
      </c>
      <c r="H45" s="35">
        <f>D3+E43-H43</f>
        <v>763609.53999999911</v>
      </c>
    </row>
    <row r="46" spans="1:8" ht="10.5" customHeight="1" x14ac:dyDescent="0.3">
      <c r="A46" s="2"/>
      <c r="B46" s="3"/>
      <c r="C46" s="3"/>
      <c r="D46" s="3"/>
      <c r="E46" s="8"/>
      <c r="F46" s="8"/>
      <c r="G46" s="9"/>
      <c r="H46" s="36"/>
    </row>
    <row r="47" spans="1:8" ht="13.5" customHeight="1" thickBot="1" x14ac:dyDescent="0.3">
      <c r="F47" s="4"/>
      <c r="H47" s="2"/>
    </row>
    <row r="48" spans="1:8" ht="18.75" x14ac:dyDescent="0.3">
      <c r="A48" s="2"/>
      <c r="B48" s="2"/>
      <c r="C48" s="2"/>
      <c r="D48" s="2"/>
      <c r="E48" s="2"/>
      <c r="F48" s="34" t="s">
        <v>68</v>
      </c>
      <c r="G48" s="34"/>
      <c r="H48" s="12">
        <f>H45</f>
        <v>763609.53999999911</v>
      </c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ht="15.75" x14ac:dyDescent="0.25">
      <c r="A52" s="2"/>
      <c r="B52" s="129" t="s">
        <v>29</v>
      </c>
      <c r="C52" s="129"/>
      <c r="D52" s="129"/>
      <c r="E52" s="129"/>
      <c r="F52" s="2"/>
      <c r="G52" s="4" t="s">
        <v>22</v>
      </c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</sheetData>
  <mergeCells count="67">
    <mergeCell ref="D7:D9"/>
    <mergeCell ref="A1:H1"/>
    <mergeCell ref="A4:A6"/>
    <mergeCell ref="B4:B6"/>
    <mergeCell ref="A7:A9"/>
    <mergeCell ref="B7:B9"/>
    <mergeCell ref="C7:C9"/>
    <mergeCell ref="C5:E5"/>
    <mergeCell ref="C4:E4"/>
    <mergeCell ref="E7:E9"/>
    <mergeCell ref="A13:A15"/>
    <mergeCell ref="B13:B15"/>
    <mergeCell ref="C13:C15"/>
    <mergeCell ref="E13:E15"/>
    <mergeCell ref="D13:D15"/>
    <mergeCell ref="A10:A12"/>
    <mergeCell ref="B10:B12"/>
    <mergeCell ref="C10:C12"/>
    <mergeCell ref="E10:E12"/>
    <mergeCell ref="D10:D12"/>
    <mergeCell ref="A19:A21"/>
    <mergeCell ref="B19:B21"/>
    <mergeCell ref="C19:C21"/>
    <mergeCell ref="E19:E21"/>
    <mergeCell ref="D19:D21"/>
    <mergeCell ref="A16:A18"/>
    <mergeCell ref="B16:B18"/>
    <mergeCell ref="C16:C18"/>
    <mergeCell ref="E16:E18"/>
    <mergeCell ref="D16:D18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E22:E24"/>
    <mergeCell ref="E31:E33"/>
    <mergeCell ref="E25:E27"/>
    <mergeCell ref="E28:E30"/>
    <mergeCell ref="D34:D36"/>
    <mergeCell ref="D25:D27"/>
    <mergeCell ref="D28:D30"/>
    <mergeCell ref="D31:D33"/>
    <mergeCell ref="E34:E36"/>
    <mergeCell ref="D22:D24"/>
    <mergeCell ref="A34:A36"/>
    <mergeCell ref="B34:B36"/>
    <mergeCell ref="C34:C36"/>
    <mergeCell ref="A43:B43"/>
    <mergeCell ref="A40:A42"/>
    <mergeCell ref="B40:B42"/>
    <mergeCell ref="C40:C42"/>
    <mergeCell ref="A37:A39"/>
    <mergeCell ref="B37:B39"/>
    <mergeCell ref="B52:E52"/>
    <mergeCell ref="E37:E39"/>
    <mergeCell ref="E40:E42"/>
    <mergeCell ref="D37:D39"/>
    <mergeCell ref="D40:D42"/>
    <mergeCell ref="C37:C39"/>
  </mergeCells>
  <phoneticPr fontId="0" type="noConversion"/>
  <pageMargins left="0.39370078740157483" right="0.39370078740157483" top="0.19685039370078741" bottom="0.19685039370078741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I16" zoomScale="130" zoomScaleNormal="130" zoomScalePageLayoutView="125" workbookViewId="0">
      <pane xSplit="35280" topLeftCell="S1"/>
      <selection activeCell="O27" sqref="O27"/>
      <selection pane="topRight" activeCell="S4" sqref="S4"/>
    </sheetView>
  </sheetViews>
  <sheetFormatPr defaultColWidth="8.85546875" defaultRowHeight="12.75" x14ac:dyDescent="0.2"/>
  <cols>
    <col min="1" max="1" width="7.7109375" customWidth="1"/>
    <col min="2" max="2" width="14.140625" customWidth="1"/>
    <col min="3" max="3" width="12.42578125" customWidth="1"/>
    <col min="4" max="4" width="12" customWidth="1"/>
    <col min="5" max="5" width="11.85546875" customWidth="1"/>
    <col min="6" max="6" width="12" customWidth="1"/>
    <col min="7" max="7" width="12.28515625" customWidth="1"/>
    <col min="8" max="8" width="11" customWidth="1"/>
    <col min="9" max="9" width="12.85546875" customWidth="1"/>
    <col min="10" max="10" width="12.28515625" customWidth="1"/>
    <col min="11" max="11" width="13.42578125" customWidth="1"/>
    <col min="12" max="12" width="12.85546875" customWidth="1"/>
    <col min="13" max="13" width="12.42578125" customWidth="1"/>
    <col min="14" max="14" width="13.28515625" customWidth="1"/>
    <col min="15" max="15" width="13.42578125" customWidth="1"/>
    <col min="16" max="16" width="11" customWidth="1"/>
    <col min="17" max="17" width="12.85546875" customWidth="1"/>
    <col min="18" max="18" width="15.140625" customWidth="1"/>
  </cols>
  <sheetData>
    <row r="1" spans="1:18" ht="32.25" customHeight="1" thickBot="1" x14ac:dyDescent="0.25">
      <c r="A1" s="159" t="s">
        <v>71</v>
      </c>
      <c r="B1" s="159"/>
      <c r="C1" s="159"/>
      <c r="D1" s="159"/>
      <c r="E1" s="159"/>
      <c r="F1" s="159"/>
      <c r="G1" s="159"/>
      <c r="H1" s="155"/>
      <c r="I1" s="155"/>
      <c r="J1" s="155"/>
      <c r="K1" s="155"/>
      <c r="L1" s="159"/>
      <c r="M1" s="159"/>
      <c r="N1" s="159"/>
      <c r="O1" s="159"/>
      <c r="P1" s="159"/>
      <c r="Q1" s="155"/>
      <c r="R1" s="155"/>
    </row>
    <row r="2" spans="1:18" s="108" customFormat="1" ht="79.5" thickBot="1" x14ac:dyDescent="0.25">
      <c r="A2" s="104" t="s">
        <v>0</v>
      </c>
      <c r="B2" s="105" t="s">
        <v>16</v>
      </c>
      <c r="C2" s="104" t="s">
        <v>11</v>
      </c>
      <c r="D2" s="104" t="s">
        <v>17</v>
      </c>
      <c r="E2" s="104" t="s">
        <v>12</v>
      </c>
      <c r="F2" s="104" t="s">
        <v>51</v>
      </c>
      <c r="G2" s="104" t="s">
        <v>33</v>
      </c>
      <c r="H2" s="106" t="s">
        <v>36</v>
      </c>
      <c r="I2" s="106" t="s">
        <v>34</v>
      </c>
      <c r="J2" s="106" t="s">
        <v>25</v>
      </c>
      <c r="K2" s="106" t="s">
        <v>31</v>
      </c>
      <c r="L2" s="105" t="s">
        <v>35</v>
      </c>
      <c r="M2" s="104" t="s">
        <v>55</v>
      </c>
      <c r="N2" s="104" t="s">
        <v>72</v>
      </c>
      <c r="O2" s="104" t="s">
        <v>24</v>
      </c>
      <c r="P2" s="104" t="s">
        <v>26</v>
      </c>
      <c r="Q2" s="106" t="s">
        <v>27</v>
      </c>
      <c r="R2" s="107" t="s">
        <v>15</v>
      </c>
    </row>
    <row r="3" spans="1:18" ht="16.5" thickBot="1" x14ac:dyDescent="0.25">
      <c r="A3" s="109"/>
      <c r="B3" s="110"/>
      <c r="C3" s="111">
        <v>1</v>
      </c>
      <c r="D3" s="112">
        <v>2</v>
      </c>
      <c r="E3" s="111">
        <v>3</v>
      </c>
      <c r="F3" s="112">
        <v>4</v>
      </c>
      <c r="G3" s="111">
        <v>5</v>
      </c>
      <c r="H3" s="112">
        <v>6</v>
      </c>
      <c r="I3" s="111">
        <v>7</v>
      </c>
      <c r="J3" s="112">
        <v>8</v>
      </c>
      <c r="K3" s="111">
        <v>9</v>
      </c>
      <c r="L3" s="112">
        <v>10</v>
      </c>
      <c r="M3" s="111">
        <v>11</v>
      </c>
      <c r="N3" s="112">
        <v>12</v>
      </c>
      <c r="O3" s="111">
        <v>13</v>
      </c>
      <c r="P3" s="112">
        <v>14</v>
      </c>
      <c r="Q3" s="112">
        <v>15</v>
      </c>
      <c r="R3" s="111"/>
    </row>
    <row r="4" spans="1:18" ht="17.25" customHeight="1" x14ac:dyDescent="0.2">
      <c r="A4" s="81">
        <v>1</v>
      </c>
      <c r="B4" s="20">
        <v>44621</v>
      </c>
      <c r="C4" s="21">
        <f>2000+8+37+37+37+90.48+8+60+8+259+37</f>
        <v>2581.48</v>
      </c>
      <c r="D4" s="85">
        <f>9332.28+81147.72</f>
        <v>90480</v>
      </c>
      <c r="E4" s="79">
        <v>11275</v>
      </c>
      <c r="F4" s="79">
        <f>173.45+2515.09+4423.09+19080</f>
        <v>26191.63</v>
      </c>
      <c r="G4" s="79">
        <f>1387.58+13176</f>
        <v>14563.58</v>
      </c>
      <c r="H4" s="25">
        <v>4228</v>
      </c>
      <c r="I4" s="25">
        <v>15750</v>
      </c>
      <c r="J4" s="25">
        <f>425506.95</f>
        <v>425506.95</v>
      </c>
      <c r="K4" s="25">
        <f>19872+44280.12</f>
        <v>64152.12</v>
      </c>
      <c r="L4" s="21">
        <f>18118+6545</f>
        <v>24663</v>
      </c>
      <c r="M4" s="85">
        <v>3000</v>
      </c>
      <c r="N4" s="79">
        <f>54693.93+54693.93</f>
        <v>109387.86</v>
      </c>
      <c r="O4" s="79">
        <v>35000</v>
      </c>
      <c r="P4" s="79"/>
      <c r="Q4" s="79">
        <f>разное!R5</f>
        <v>505437.56</v>
      </c>
      <c r="R4" s="82">
        <f t="shared" ref="R4:R16" si="0">SUM(C4:Q4)</f>
        <v>1332217.18</v>
      </c>
    </row>
    <row r="5" spans="1:18" ht="17.25" customHeight="1" x14ac:dyDescent="0.2">
      <c r="A5" s="5">
        <v>2</v>
      </c>
      <c r="B5" s="6">
        <v>44653</v>
      </c>
      <c r="C5" s="24">
        <f>2000+8+8+92.22+60+16+296</f>
        <v>2480.2199999999998</v>
      </c>
      <c r="D5" s="84">
        <f>92220+93264</f>
        <v>185484</v>
      </c>
      <c r="E5" s="44">
        <f>13780+13936</f>
        <v>27716</v>
      </c>
      <c r="F5" s="44">
        <f>212+3074+5406+23320+214.4+3108+5467.2+23584</f>
        <v>64385.599999999999</v>
      </c>
      <c r="G5" s="44"/>
      <c r="H5" s="16">
        <v>12000</v>
      </c>
      <c r="I5" s="25">
        <v>15750</v>
      </c>
      <c r="J5" s="25">
        <v>359082.61</v>
      </c>
      <c r="K5" s="16">
        <f>19872+46895.27</f>
        <v>66767.26999999999</v>
      </c>
      <c r="L5" s="24">
        <v>4829</v>
      </c>
      <c r="M5" s="84">
        <v>3000</v>
      </c>
      <c r="N5" s="44">
        <f>54693.93</f>
        <v>54693.93</v>
      </c>
      <c r="O5" s="79">
        <v>35000</v>
      </c>
      <c r="P5" s="44">
        <v>8154</v>
      </c>
      <c r="Q5" s="79">
        <f>разное!R6</f>
        <v>406764</v>
      </c>
      <c r="R5" s="82">
        <f t="shared" si="0"/>
        <v>1246106.6299999999</v>
      </c>
    </row>
    <row r="6" spans="1:18" ht="17.25" customHeight="1" x14ac:dyDescent="0.2">
      <c r="A6" s="5">
        <v>3</v>
      </c>
      <c r="B6" s="20">
        <v>44685</v>
      </c>
      <c r="C6" s="13">
        <f>2000+93.26+60+8+259+37+37</f>
        <v>2494.2600000000002</v>
      </c>
      <c r="D6" s="13">
        <v>94221</v>
      </c>
      <c r="E6" s="16">
        <v>14079</v>
      </c>
      <c r="F6" s="44">
        <f>216.6+3140.7+5523.3+23826</f>
        <v>32706.6</v>
      </c>
      <c r="G6" s="16"/>
      <c r="H6" s="13"/>
      <c r="I6" s="25">
        <v>15750</v>
      </c>
      <c r="J6" s="16">
        <v>346974.11</v>
      </c>
      <c r="K6" s="16">
        <f>23184+49335.55</f>
        <v>72519.55</v>
      </c>
      <c r="L6" s="13">
        <v>5331.6</v>
      </c>
      <c r="M6" s="13">
        <v>3000</v>
      </c>
      <c r="N6" s="44">
        <f>54693.93</f>
        <v>54693.93</v>
      </c>
      <c r="O6" s="44">
        <v>35000</v>
      </c>
      <c r="P6" s="16"/>
      <c r="Q6" s="79">
        <f>разное!R7</f>
        <v>52719.4</v>
      </c>
      <c r="R6" s="82">
        <f t="shared" si="0"/>
        <v>729489.45000000007</v>
      </c>
    </row>
    <row r="7" spans="1:18" ht="17.25" customHeight="1" x14ac:dyDescent="0.2">
      <c r="A7" s="5">
        <v>4</v>
      </c>
      <c r="B7" s="6">
        <v>44717</v>
      </c>
      <c r="C7" s="16">
        <f>8+2000+8+8+259+102.77+60</f>
        <v>2445.77</v>
      </c>
      <c r="D7" s="16">
        <f>1710+5000+94221</f>
        <v>100931</v>
      </c>
      <c r="E7" s="16">
        <v>14079</v>
      </c>
      <c r="F7" s="44">
        <f>216.6+3140.7+5523.3+23826</f>
        <v>32706.6</v>
      </c>
      <c r="G7" s="16"/>
      <c r="H7" s="13"/>
      <c r="I7" s="25">
        <v>15750</v>
      </c>
      <c r="J7" s="16">
        <v>232024.63</v>
      </c>
      <c r="K7" s="16">
        <f>23201+50207.27</f>
        <v>73408.26999999999</v>
      </c>
      <c r="L7" s="16">
        <v>4471.84</v>
      </c>
      <c r="M7" s="16">
        <v>3000</v>
      </c>
      <c r="N7" s="44">
        <f>54693.93</f>
        <v>54693.93</v>
      </c>
      <c r="O7" s="44">
        <v>35000</v>
      </c>
      <c r="P7" s="16"/>
      <c r="Q7" s="79">
        <f>разное!R8</f>
        <v>107103.6</v>
      </c>
      <c r="R7" s="82">
        <f t="shared" si="0"/>
        <v>675614.64</v>
      </c>
    </row>
    <row r="8" spans="1:18" ht="17.25" customHeight="1" x14ac:dyDescent="0.2">
      <c r="A8" s="5">
        <v>5</v>
      </c>
      <c r="B8" s="20">
        <v>44749</v>
      </c>
      <c r="C8" s="21">
        <f>2000+119.22+60+16+259+37</f>
        <v>2491.2199999999998</v>
      </c>
      <c r="D8" s="85">
        <v>107010</v>
      </c>
      <c r="E8" s="16">
        <f>2245+15990</f>
        <v>18235</v>
      </c>
      <c r="F8" s="44">
        <f>246+3567+6273+27060</f>
        <v>37146</v>
      </c>
      <c r="G8" s="25"/>
      <c r="H8" s="16">
        <v>12000</v>
      </c>
      <c r="I8" s="25"/>
      <c r="J8" s="16">
        <v>75749.72</v>
      </c>
      <c r="K8" s="16">
        <f>19872+46023.55</f>
        <v>65895.55</v>
      </c>
      <c r="L8" s="21">
        <v>2563.44</v>
      </c>
      <c r="M8" s="85">
        <v>3000</v>
      </c>
      <c r="N8" s="44">
        <f>54693.93</f>
        <v>54693.93</v>
      </c>
      <c r="O8" s="44">
        <v>35000</v>
      </c>
      <c r="P8" s="25">
        <v>8154</v>
      </c>
      <c r="Q8" s="79">
        <f>разное!R9</f>
        <v>109758.39999999999</v>
      </c>
      <c r="R8" s="82">
        <f t="shared" si="0"/>
        <v>531697.26</v>
      </c>
    </row>
    <row r="9" spans="1:18" ht="17.25" customHeight="1" x14ac:dyDescent="0.2">
      <c r="A9" s="5">
        <v>6</v>
      </c>
      <c r="B9" s="6">
        <v>44781</v>
      </c>
      <c r="C9" s="14">
        <f>2000+8+143.51+16+259+60</f>
        <v>2486.5100000000002</v>
      </c>
      <c r="D9" s="15">
        <f>7300+111371.82</f>
        <v>118671.82</v>
      </c>
      <c r="E9" s="16">
        <v>16642</v>
      </c>
      <c r="F9" s="16">
        <f>3712.4+6528.7+28163.04</f>
        <v>38404.14</v>
      </c>
      <c r="G9" s="16"/>
      <c r="H9" s="16"/>
      <c r="I9" s="25">
        <v>15750</v>
      </c>
      <c r="J9" s="16">
        <v>64744.61</v>
      </c>
      <c r="K9" s="16">
        <f>26947.2+54430.64</f>
        <v>81377.84</v>
      </c>
      <c r="L9" s="14">
        <v>7633.79</v>
      </c>
      <c r="M9" s="85">
        <v>3000</v>
      </c>
      <c r="N9" s="44">
        <f>54693.93</f>
        <v>54693.93</v>
      </c>
      <c r="O9" s="44">
        <v>35000</v>
      </c>
      <c r="P9" s="16"/>
      <c r="Q9" s="79">
        <f>разное!R10</f>
        <v>70737.100000000006</v>
      </c>
      <c r="R9" s="82">
        <f t="shared" si="0"/>
        <v>509141.74</v>
      </c>
    </row>
    <row r="10" spans="1:18" ht="17.25" customHeight="1" x14ac:dyDescent="0.2">
      <c r="A10" s="5">
        <v>7</v>
      </c>
      <c r="B10" s="20">
        <v>44813</v>
      </c>
      <c r="C10" s="21">
        <f>2000+111.37+8+259+60+37+2500+8</f>
        <v>4983.37</v>
      </c>
      <c r="D10" s="85">
        <v>76402.179999999993</v>
      </c>
      <c r="E10" s="79">
        <v>11416</v>
      </c>
      <c r="F10" s="79">
        <f>256.03+175.64+2546.73+4478.73+19320</f>
        <v>26777.129999999997</v>
      </c>
      <c r="G10" s="79"/>
      <c r="H10" s="25"/>
      <c r="I10" s="25">
        <v>15750</v>
      </c>
      <c r="J10" s="25">
        <v>64744.61</v>
      </c>
      <c r="K10" s="25">
        <f>30315.6+57799.6</f>
        <v>88115.199999999997</v>
      </c>
      <c r="L10" s="21">
        <v>5862.95</v>
      </c>
      <c r="M10" s="85">
        <v>3000</v>
      </c>
      <c r="N10" s="79">
        <v>87489.99</v>
      </c>
      <c r="O10" s="79">
        <v>35000</v>
      </c>
      <c r="P10" s="79">
        <f>1650</f>
        <v>1650</v>
      </c>
      <c r="Q10" s="79">
        <f>разное!R11</f>
        <v>138966</v>
      </c>
      <c r="R10" s="82">
        <f t="shared" si="0"/>
        <v>560157.42999999993</v>
      </c>
    </row>
    <row r="11" spans="1:18" ht="17.25" customHeight="1" x14ac:dyDescent="0.2">
      <c r="A11" s="5">
        <v>8</v>
      </c>
      <c r="B11" s="6">
        <v>44845</v>
      </c>
      <c r="C11" s="24">
        <f>2000+37+76.4+16+259+60+5+12.06</f>
        <v>2465.46</v>
      </c>
      <c r="D11" s="84">
        <f>5000+12063</f>
        <v>17063</v>
      </c>
      <c r="E11" s="44"/>
      <c r="F11" s="44"/>
      <c r="G11" s="44"/>
      <c r="H11" s="16">
        <v>12000</v>
      </c>
      <c r="I11" s="25">
        <v>15750</v>
      </c>
      <c r="J11" s="25">
        <v>113692.62</v>
      </c>
      <c r="K11" s="16">
        <f>24640.52+51237.4</f>
        <v>75877.919999999998</v>
      </c>
      <c r="L11" s="24">
        <v>5300.51</v>
      </c>
      <c r="M11" s="85"/>
      <c r="N11" s="44">
        <v>71096.95</v>
      </c>
      <c r="O11" s="79">
        <v>35000</v>
      </c>
      <c r="P11" s="44">
        <v>8154</v>
      </c>
      <c r="Q11" s="79">
        <f>разное!R12</f>
        <v>17199.2</v>
      </c>
      <c r="R11" s="82">
        <f t="shared" si="0"/>
        <v>373599.66000000003</v>
      </c>
    </row>
    <row r="12" spans="1:18" ht="17.25" customHeight="1" x14ac:dyDescent="0.2">
      <c r="A12" s="5">
        <v>9</v>
      </c>
      <c r="B12" s="20">
        <v>44877</v>
      </c>
      <c r="C12" s="13">
        <f>2000+136.97+8+259+60+97.27</f>
        <v>2561.2399999999998</v>
      </c>
      <c r="D12" s="13">
        <f>8950+92222+97266</f>
        <v>198438</v>
      </c>
      <c r="E12" s="16">
        <f>14528+14534</f>
        <v>29062</v>
      </c>
      <c r="F12" s="44">
        <f>223.5+3240.75+5699.25+24585+223.6+3242.2+5701.8+24596</f>
        <v>67512.100000000006</v>
      </c>
      <c r="G12" s="16"/>
      <c r="H12" s="13"/>
      <c r="I12" s="25">
        <v>15750</v>
      </c>
      <c r="J12" s="16">
        <v>236345.07</v>
      </c>
      <c r="K12" s="16">
        <f>22517.08+50000.52</f>
        <v>72517.600000000006</v>
      </c>
      <c r="L12" s="13">
        <v>5605.87</v>
      </c>
      <c r="M12" s="85">
        <v>3000</v>
      </c>
      <c r="N12" s="44">
        <v>71096.95</v>
      </c>
      <c r="O12" s="44">
        <v>35000</v>
      </c>
      <c r="P12" s="16"/>
      <c r="Q12" s="79">
        <f>разное!R13</f>
        <v>4294</v>
      </c>
      <c r="R12" s="82">
        <f t="shared" si="0"/>
        <v>741182.82999999984</v>
      </c>
    </row>
    <row r="13" spans="1:18" ht="17.25" customHeight="1" thickBot="1" x14ac:dyDescent="0.25">
      <c r="A13" s="19">
        <v>10</v>
      </c>
      <c r="B13" s="55">
        <v>44909</v>
      </c>
      <c r="C13" s="16">
        <f>2000+8+222+60+37+37+37+2000</f>
        <v>4401</v>
      </c>
      <c r="D13" s="16">
        <f>8745+135387.53</f>
        <v>144132.53</v>
      </c>
      <c r="E13" s="16">
        <v>20230</v>
      </c>
      <c r="F13" s="44">
        <f>311.24+4512.91+7936.49+34235.86</f>
        <v>46996.5</v>
      </c>
      <c r="G13" s="16"/>
      <c r="H13" s="13"/>
      <c r="I13" s="25">
        <v>15750</v>
      </c>
      <c r="J13" s="16">
        <v>323586.67</v>
      </c>
      <c r="K13" s="16">
        <f>23578.8+50175.68</f>
        <v>73754.48</v>
      </c>
      <c r="L13" s="16">
        <v>5170.83</v>
      </c>
      <c r="M13" s="16">
        <v>3000</v>
      </c>
      <c r="N13" s="44">
        <v>71096.95</v>
      </c>
      <c r="O13" s="44">
        <v>35000</v>
      </c>
      <c r="P13" s="16"/>
      <c r="Q13" s="61">
        <f>разное!R14</f>
        <v>280955</v>
      </c>
      <c r="R13" s="91">
        <f t="shared" si="0"/>
        <v>1024073.9599999998</v>
      </c>
    </row>
    <row r="14" spans="1:18" s="83" customFormat="1" ht="17.25" customHeight="1" thickTop="1" x14ac:dyDescent="0.2">
      <c r="A14" s="81">
        <v>11</v>
      </c>
      <c r="B14" s="20">
        <v>44941</v>
      </c>
      <c r="C14" s="21">
        <f>179.12+16+296+70+8</f>
        <v>569.12</v>
      </c>
      <c r="D14" s="85">
        <v>98919</v>
      </c>
      <c r="E14" s="16">
        <v>14781</v>
      </c>
      <c r="F14" s="44"/>
      <c r="G14" s="25"/>
      <c r="H14" s="16">
        <v>15000</v>
      </c>
      <c r="I14" s="25">
        <v>15750</v>
      </c>
      <c r="J14" s="16">
        <v>481652</v>
      </c>
      <c r="K14" s="16">
        <f>25578+55391.71</f>
        <v>80969.709999999992</v>
      </c>
      <c r="L14" s="21">
        <v>6682.93</v>
      </c>
      <c r="M14" s="16">
        <v>3000</v>
      </c>
      <c r="N14" s="44">
        <v>71096.95</v>
      </c>
      <c r="O14" s="44">
        <f>35000+26644.56</f>
        <v>61644.56</v>
      </c>
      <c r="P14" s="25">
        <v>8154</v>
      </c>
      <c r="Q14" s="79">
        <f>разное!R15</f>
        <v>18118</v>
      </c>
      <c r="R14" s="82">
        <f t="shared" si="0"/>
        <v>876337.27</v>
      </c>
    </row>
    <row r="15" spans="1:18" ht="17.25" customHeight="1" thickBot="1" x14ac:dyDescent="0.25">
      <c r="A15" s="43">
        <v>12</v>
      </c>
      <c r="B15" s="6">
        <v>44973</v>
      </c>
      <c r="C15" s="14">
        <f>2100+400+111+98.92+8+259+37+70+12+37</f>
        <v>3132.92</v>
      </c>
      <c r="D15" s="15">
        <f>11000+12000+82221</f>
        <v>105221</v>
      </c>
      <c r="E15" s="16">
        <v>14079</v>
      </c>
      <c r="F15" s="16">
        <f>311.24+34110+212.6+32490</f>
        <v>67123.839999999997</v>
      </c>
      <c r="G15" s="16"/>
      <c r="H15" s="16"/>
      <c r="I15" s="25">
        <v>15750</v>
      </c>
      <c r="J15" s="16">
        <v>481356.97</v>
      </c>
      <c r="K15" s="16">
        <f>25758.5+55572.21</f>
        <v>81330.709999999992</v>
      </c>
      <c r="L15" s="14">
        <v>5678.11</v>
      </c>
      <c r="M15" s="16">
        <v>3000</v>
      </c>
      <c r="N15" s="16">
        <v>83158.02</v>
      </c>
      <c r="O15" s="16">
        <v>35000</v>
      </c>
      <c r="P15" s="16"/>
      <c r="Q15" s="79">
        <f>разное!R16</f>
        <v>57152.270000000004</v>
      </c>
      <c r="R15" s="82">
        <f t="shared" si="0"/>
        <v>951982.84</v>
      </c>
    </row>
    <row r="16" spans="1:18" ht="26.25" customHeight="1" thickBot="1" x14ac:dyDescent="0.25">
      <c r="A16" s="156" t="s">
        <v>18</v>
      </c>
      <c r="B16" s="157"/>
      <c r="C16" s="113">
        <f t="shared" ref="C16:Q16" si="1">SUM(C4:C15)</f>
        <v>33092.57</v>
      </c>
      <c r="D16" s="113">
        <f t="shared" si="1"/>
        <v>1336973.53</v>
      </c>
      <c r="E16" s="113">
        <f t="shared" si="1"/>
        <v>191594</v>
      </c>
      <c r="F16" s="113">
        <f t="shared" si="1"/>
        <v>439950.14</v>
      </c>
      <c r="G16" s="113">
        <f t="shared" si="1"/>
        <v>14563.58</v>
      </c>
      <c r="H16" s="113">
        <f t="shared" si="1"/>
        <v>55228</v>
      </c>
      <c r="I16" s="113">
        <f t="shared" si="1"/>
        <v>173250</v>
      </c>
      <c r="J16" s="113">
        <f t="shared" si="1"/>
        <v>3205460.5700000003</v>
      </c>
      <c r="K16" s="113">
        <f t="shared" si="1"/>
        <v>896686.21999999986</v>
      </c>
      <c r="L16" s="113">
        <f t="shared" si="1"/>
        <v>83793.87000000001</v>
      </c>
      <c r="M16" s="113">
        <f t="shared" si="1"/>
        <v>33000</v>
      </c>
      <c r="N16" s="113">
        <f t="shared" si="1"/>
        <v>837893.31999999983</v>
      </c>
      <c r="O16" s="113">
        <f t="shared" si="1"/>
        <v>446644.56</v>
      </c>
      <c r="P16" s="113">
        <f t="shared" si="1"/>
        <v>34266</v>
      </c>
      <c r="Q16" s="113">
        <f t="shared" si="1"/>
        <v>1769204.53</v>
      </c>
      <c r="R16" s="114">
        <f t="shared" si="0"/>
        <v>9551600.8900000006</v>
      </c>
    </row>
    <row r="17" spans="1:18" x14ac:dyDescent="0.2">
      <c r="B17" s="2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</row>
    <row r="18" spans="1:18" x14ac:dyDescent="0.2">
      <c r="B18" s="2"/>
      <c r="C18" s="115"/>
      <c r="D18" s="115"/>
      <c r="E18" s="115"/>
      <c r="F18" s="115"/>
      <c r="G18" s="115"/>
      <c r="H18" s="115"/>
      <c r="I18" s="115"/>
      <c r="J18" s="117"/>
      <c r="K18" s="115"/>
      <c r="L18" s="115"/>
      <c r="M18" s="115"/>
      <c r="N18" s="115"/>
      <c r="O18" s="115"/>
      <c r="P18" s="115"/>
      <c r="Q18" s="115"/>
      <c r="R18" s="2"/>
    </row>
    <row r="19" spans="1:18" x14ac:dyDescent="0.2">
      <c r="A19" s="158" t="s">
        <v>19</v>
      </c>
      <c r="B19" s="158"/>
      <c r="C19" s="158"/>
      <c r="D19" s="158"/>
      <c r="E19" s="158"/>
      <c r="F19" s="158"/>
      <c r="G19" s="158"/>
      <c r="H19" s="158"/>
      <c r="I19" s="158"/>
      <c r="J19" s="158"/>
      <c r="K19" s="3"/>
      <c r="L19" s="158" t="s">
        <v>20</v>
      </c>
      <c r="M19" s="158"/>
      <c r="N19" s="158"/>
      <c r="O19" s="158"/>
      <c r="P19" s="158"/>
      <c r="Q19" s="158"/>
      <c r="R19" s="158"/>
    </row>
    <row r="20" spans="1:18" ht="15" customHeight="1" x14ac:dyDescent="0.2">
      <c r="B20" s="2"/>
      <c r="C20" s="118">
        <v>1</v>
      </c>
      <c r="D20" s="2" t="s">
        <v>40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19" customFormat="1" ht="15" customHeight="1" x14ac:dyDescent="0.25">
      <c r="B21" s="60"/>
      <c r="C21" s="120">
        <v>2</v>
      </c>
      <c r="D21" s="2" t="s">
        <v>38</v>
      </c>
      <c r="E21" s="60"/>
      <c r="F21" s="60"/>
      <c r="G21" s="60"/>
      <c r="H21" s="60"/>
      <c r="I21" s="60"/>
      <c r="J21" s="60"/>
      <c r="K21" s="60"/>
      <c r="L21" s="60">
        <v>13</v>
      </c>
      <c r="M21" s="2" t="s">
        <v>48</v>
      </c>
      <c r="O21" s="60"/>
      <c r="P21" s="60"/>
      <c r="Q21" s="60"/>
      <c r="R21" s="60"/>
    </row>
    <row r="22" spans="1:18" s="119" customFormat="1" ht="15" customHeight="1" x14ac:dyDescent="0.2">
      <c r="C22" s="120">
        <v>3</v>
      </c>
      <c r="D22" s="2" t="s">
        <v>39</v>
      </c>
      <c r="L22" s="119">
        <v>14</v>
      </c>
      <c r="M22" s="2" t="s">
        <v>45</v>
      </c>
    </row>
    <row r="23" spans="1:18" s="119" customFormat="1" ht="15" customHeight="1" x14ac:dyDescent="0.25">
      <c r="C23" s="120">
        <v>4</v>
      </c>
      <c r="D23" s="2" t="s">
        <v>57</v>
      </c>
      <c r="E23" s="60"/>
      <c r="F23" s="154"/>
      <c r="G23" s="154"/>
      <c r="H23" s="121"/>
      <c r="L23" s="60">
        <v>15</v>
      </c>
      <c r="M23" s="2" t="s">
        <v>49</v>
      </c>
    </row>
    <row r="24" spans="1:18" s="119" customFormat="1" ht="15" customHeight="1" x14ac:dyDescent="0.2">
      <c r="C24" s="120">
        <v>5</v>
      </c>
      <c r="D24" s="2" t="s">
        <v>41</v>
      </c>
      <c r="M24" s="2"/>
    </row>
    <row r="25" spans="1:18" s="119" customFormat="1" ht="15" customHeight="1" x14ac:dyDescent="0.25">
      <c r="C25" s="120">
        <v>6</v>
      </c>
      <c r="D25" s="2" t="s">
        <v>42</v>
      </c>
      <c r="L25" s="60"/>
      <c r="M25" s="2"/>
    </row>
    <row r="26" spans="1:18" s="119" customFormat="1" ht="15" customHeight="1" x14ac:dyDescent="0.2">
      <c r="C26" s="120">
        <v>7</v>
      </c>
      <c r="D26" s="2" t="s">
        <v>43</v>
      </c>
    </row>
    <row r="27" spans="1:18" s="119" customFormat="1" ht="15" customHeight="1" x14ac:dyDescent="0.25">
      <c r="C27" s="120">
        <v>8</v>
      </c>
      <c r="D27" s="2" t="s">
        <v>44</v>
      </c>
      <c r="L27" s="60"/>
      <c r="M27" s="2"/>
    </row>
    <row r="28" spans="1:18" s="119" customFormat="1" ht="15" customHeight="1" x14ac:dyDescent="0.2">
      <c r="C28" s="120">
        <v>9</v>
      </c>
      <c r="D28" s="2" t="s">
        <v>56</v>
      </c>
    </row>
    <row r="29" spans="1:18" ht="15" customHeight="1" x14ac:dyDescent="0.25">
      <c r="C29" s="118">
        <v>10</v>
      </c>
      <c r="D29" s="2" t="s">
        <v>46</v>
      </c>
      <c r="L29" s="60"/>
    </row>
    <row r="30" spans="1:18" ht="15" customHeight="1" x14ac:dyDescent="0.2">
      <c r="C30" s="122">
        <v>11</v>
      </c>
      <c r="D30" s="2" t="s">
        <v>47</v>
      </c>
    </row>
    <row r="31" spans="1:18" ht="15" customHeight="1" x14ac:dyDescent="0.2">
      <c r="C31" s="122">
        <v>12</v>
      </c>
      <c r="D31" s="2" t="s">
        <v>59</v>
      </c>
    </row>
    <row r="32" spans="1:18" x14ac:dyDescent="0.2">
      <c r="C32" s="122"/>
      <c r="D32" s="2"/>
    </row>
    <row r="33" spans="2:11" x14ac:dyDescent="0.2">
      <c r="C33" s="122"/>
      <c r="D33" s="2"/>
    </row>
    <row r="34" spans="2:11" x14ac:dyDescent="0.2">
      <c r="C34" s="122"/>
    </row>
    <row r="35" spans="2:11" s="108" customFormat="1" ht="15.75" x14ac:dyDescent="0.25">
      <c r="B35" s="4" t="s">
        <v>21</v>
      </c>
      <c r="I35" s="129" t="s">
        <v>22</v>
      </c>
      <c r="J35" s="129"/>
      <c r="K35" s="129"/>
    </row>
    <row r="44" spans="2:11" x14ac:dyDescent="0.2">
      <c r="D44" s="123"/>
    </row>
  </sheetData>
  <mergeCells count="7">
    <mergeCell ref="F23:G23"/>
    <mergeCell ref="I35:K35"/>
    <mergeCell ref="Q1:R1"/>
    <mergeCell ref="A16:B16"/>
    <mergeCell ref="A19:J19"/>
    <mergeCell ref="L19:R19"/>
    <mergeCell ref="A1:P1"/>
  </mergeCells>
  <phoneticPr fontId="14" type="noConversion"/>
  <pageMargins left="0.11811023622047245" right="0.11811023622047245" top="0.35433070866141736" bottom="0.74803149606299213" header="0.31496062992125984" footer="0.31496062992125984"/>
  <pageSetup paperSize="9" scale="83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3" zoomScaleNormal="100" zoomScalePageLayoutView="125" workbookViewId="0">
      <selection activeCell="H38" sqref="H38"/>
    </sheetView>
  </sheetViews>
  <sheetFormatPr defaultColWidth="8.85546875" defaultRowHeight="12.75" x14ac:dyDescent="0.2"/>
  <cols>
    <col min="1" max="1" width="13.42578125" customWidth="1"/>
    <col min="2" max="2" width="11" customWidth="1"/>
    <col min="3" max="3" width="10" customWidth="1"/>
    <col min="4" max="4" width="12.42578125" customWidth="1"/>
    <col min="5" max="5" width="10.140625" customWidth="1"/>
    <col min="6" max="7" width="11.140625" customWidth="1"/>
    <col min="8" max="10" width="12.7109375" customWidth="1"/>
    <col min="11" max="11" width="11.28515625" customWidth="1"/>
    <col min="12" max="12" width="15.28515625" customWidth="1"/>
    <col min="13" max="14" width="12.7109375" customWidth="1"/>
    <col min="15" max="15" width="14" customWidth="1"/>
    <col min="16" max="17" width="12.7109375" customWidth="1"/>
    <col min="18" max="18" width="11.85546875" customWidth="1"/>
    <col min="19" max="19" width="10.28515625" bestFit="1" customWidth="1"/>
  </cols>
  <sheetData>
    <row r="1" spans="1:19" x14ac:dyDescent="0.2">
      <c r="A1" s="160" t="s">
        <v>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9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9" ht="60.75" thickBot="1" x14ac:dyDescent="0.25">
      <c r="A3" s="45" t="s">
        <v>28</v>
      </c>
      <c r="B3" s="46" t="s">
        <v>74</v>
      </c>
      <c r="C3" s="46" t="s">
        <v>61</v>
      </c>
      <c r="D3" s="46" t="s">
        <v>81</v>
      </c>
      <c r="E3" s="46" t="s">
        <v>80</v>
      </c>
      <c r="F3" s="46" t="s">
        <v>75</v>
      </c>
      <c r="G3" s="46" t="s">
        <v>50</v>
      </c>
      <c r="H3" s="46" t="s">
        <v>53</v>
      </c>
      <c r="I3" s="46" t="s">
        <v>62</v>
      </c>
      <c r="J3" s="46" t="s">
        <v>54</v>
      </c>
      <c r="K3" s="46" t="s">
        <v>79</v>
      </c>
      <c r="L3" s="46" t="s">
        <v>77</v>
      </c>
      <c r="M3" s="46" t="s">
        <v>60</v>
      </c>
      <c r="N3" s="46" t="s">
        <v>73</v>
      </c>
      <c r="O3" s="46" t="s">
        <v>76</v>
      </c>
      <c r="P3" s="46" t="s">
        <v>78</v>
      </c>
      <c r="Q3" s="46" t="s">
        <v>63</v>
      </c>
      <c r="R3" s="97" t="s">
        <v>5</v>
      </c>
    </row>
    <row r="4" spans="1:19" ht="14.25" customHeight="1" thickBot="1" x14ac:dyDescent="0.25">
      <c r="A4" s="49"/>
      <c r="B4" s="47">
        <v>1</v>
      </c>
      <c r="C4" s="48">
        <v>2</v>
      </c>
      <c r="D4" s="47">
        <v>3</v>
      </c>
      <c r="E4" s="47">
        <v>4</v>
      </c>
      <c r="F4" s="47">
        <v>5</v>
      </c>
      <c r="G4" s="48">
        <v>6</v>
      </c>
      <c r="H4" s="47">
        <v>7</v>
      </c>
      <c r="I4" s="47">
        <v>8</v>
      </c>
      <c r="J4" s="47">
        <v>9</v>
      </c>
      <c r="K4" s="48">
        <v>10</v>
      </c>
      <c r="L4" s="47">
        <v>11</v>
      </c>
      <c r="M4" s="47">
        <v>12</v>
      </c>
      <c r="N4" s="47">
        <v>13</v>
      </c>
      <c r="O4" s="47">
        <v>14</v>
      </c>
      <c r="P4" s="48">
        <v>15</v>
      </c>
      <c r="Q4" s="47">
        <v>16</v>
      </c>
      <c r="R4" s="98"/>
    </row>
    <row r="5" spans="1:19" x14ac:dyDescent="0.2">
      <c r="A5" s="40">
        <v>44621</v>
      </c>
      <c r="B5" s="37">
        <f>345880.4+150000</f>
        <v>495880.4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>
        <v>105.16</v>
      </c>
      <c r="O5" s="37"/>
      <c r="P5" s="37"/>
      <c r="Q5" s="37">
        <v>9452</v>
      </c>
      <c r="R5" s="96">
        <f t="shared" ref="R5:R17" si="0">SUM(B5:Q5)</f>
        <v>505437.56</v>
      </c>
    </row>
    <row r="6" spans="1:19" x14ac:dyDescent="0.2">
      <c r="A6" s="41">
        <v>44653</v>
      </c>
      <c r="B6" s="38">
        <f>150000+218820.6</f>
        <v>368820.6</v>
      </c>
      <c r="C6" s="38"/>
      <c r="D6" s="38"/>
      <c r="E6" s="38"/>
      <c r="F6" s="38"/>
      <c r="G6" s="38"/>
      <c r="H6" s="38"/>
      <c r="I6" s="37"/>
      <c r="J6" s="37">
        <f>2912+22830+1244+10957.4</f>
        <v>37943.4</v>
      </c>
      <c r="K6" s="37"/>
      <c r="L6" s="37"/>
      <c r="M6" s="37"/>
      <c r="N6" s="124"/>
      <c r="O6" s="37"/>
      <c r="P6" s="37"/>
      <c r="Q6" s="37"/>
      <c r="R6" s="96">
        <f t="shared" si="0"/>
        <v>406764</v>
      </c>
    </row>
    <row r="7" spans="1:19" x14ac:dyDescent="0.2">
      <c r="A7" s="40">
        <v>44685</v>
      </c>
      <c r="B7" s="38"/>
      <c r="C7" s="38"/>
      <c r="D7" s="38"/>
      <c r="E7" s="38"/>
      <c r="F7" s="38">
        <v>9800</v>
      </c>
      <c r="G7" s="38"/>
      <c r="H7" s="38"/>
      <c r="I7" s="37">
        <v>13029</v>
      </c>
      <c r="J7" s="37">
        <f>1810.4+5208+648+21360+864</f>
        <v>29890.400000000001</v>
      </c>
      <c r="K7" s="37"/>
      <c r="L7" s="37"/>
      <c r="M7" s="37"/>
      <c r="N7" s="38"/>
      <c r="O7" s="37"/>
      <c r="P7" s="37"/>
      <c r="Q7" s="37"/>
      <c r="R7" s="96">
        <f t="shared" si="0"/>
        <v>52719.4</v>
      </c>
    </row>
    <row r="8" spans="1:19" x14ac:dyDescent="0.2">
      <c r="A8" s="41">
        <v>44717</v>
      </c>
      <c r="B8" s="38"/>
      <c r="C8" s="38"/>
      <c r="D8" s="38"/>
      <c r="E8" s="38"/>
      <c r="F8" s="38"/>
      <c r="G8" s="38"/>
      <c r="H8" s="38">
        <v>3800</v>
      </c>
      <c r="I8" s="37"/>
      <c r="J8" s="37">
        <f>681+488+1173+1200+41667+694.6</f>
        <v>45903.6</v>
      </c>
      <c r="K8" s="37"/>
      <c r="L8" s="37"/>
      <c r="M8" s="37"/>
      <c r="N8" s="37"/>
      <c r="O8" s="37">
        <v>57400</v>
      </c>
      <c r="P8" s="37"/>
      <c r="Q8" s="37"/>
      <c r="R8" s="96">
        <f t="shared" si="0"/>
        <v>107103.6</v>
      </c>
    </row>
    <row r="9" spans="1:19" x14ac:dyDescent="0.2">
      <c r="A9" s="40">
        <v>44749</v>
      </c>
      <c r="B9" s="38"/>
      <c r="C9" s="38"/>
      <c r="D9" s="38"/>
      <c r="E9" s="38"/>
      <c r="F9" s="38"/>
      <c r="G9" s="38"/>
      <c r="H9" s="38"/>
      <c r="I9" s="37"/>
      <c r="J9" s="37">
        <f>1159.4+1231+4498+1330+494+288+4666</f>
        <v>13666.4</v>
      </c>
      <c r="K9" s="37"/>
      <c r="L9" s="37">
        <v>95223</v>
      </c>
      <c r="M9" s="37">
        <v>869</v>
      </c>
      <c r="N9" s="37"/>
      <c r="O9" s="37"/>
      <c r="P9" s="37"/>
      <c r="Q9" s="37"/>
      <c r="R9" s="96">
        <f t="shared" si="0"/>
        <v>109758.39999999999</v>
      </c>
    </row>
    <row r="10" spans="1:19" x14ac:dyDescent="0.2">
      <c r="A10" s="41">
        <v>44781</v>
      </c>
      <c r="B10" s="38"/>
      <c r="C10" s="38"/>
      <c r="D10" s="38"/>
      <c r="E10" s="38"/>
      <c r="F10" s="38"/>
      <c r="G10" s="38">
        <v>20914.099999999999</v>
      </c>
      <c r="H10" s="38"/>
      <c r="I10" s="37"/>
      <c r="J10" s="37">
        <f>161+432+342+862</f>
        <v>1797</v>
      </c>
      <c r="K10" s="37"/>
      <c r="L10" s="37"/>
      <c r="M10" s="37">
        <f>1682</f>
        <v>1682</v>
      </c>
      <c r="N10" s="37">
        <f>150+680+714</f>
        <v>1544</v>
      </c>
      <c r="O10" s="37"/>
      <c r="P10" s="37">
        <v>44800</v>
      </c>
      <c r="Q10" s="37"/>
      <c r="R10" s="96">
        <f t="shared" si="0"/>
        <v>70737.100000000006</v>
      </c>
    </row>
    <row r="11" spans="1:19" x14ac:dyDescent="0.2">
      <c r="A11" s="40">
        <v>44813</v>
      </c>
      <c r="B11" s="38"/>
      <c r="C11" s="38"/>
      <c r="D11" s="38"/>
      <c r="E11" s="38"/>
      <c r="F11" s="38"/>
      <c r="G11" s="38"/>
      <c r="H11" s="38"/>
      <c r="I11" s="37"/>
      <c r="J11" s="37">
        <f>49666</f>
        <v>49666</v>
      </c>
      <c r="K11" s="37">
        <v>89300</v>
      </c>
      <c r="L11" s="37"/>
      <c r="M11" s="37"/>
      <c r="N11" s="37"/>
      <c r="O11" s="37"/>
      <c r="P11" s="37"/>
      <c r="Q11" s="37"/>
      <c r="R11" s="79">
        <f t="shared" si="0"/>
        <v>138966</v>
      </c>
    </row>
    <row r="12" spans="1:19" x14ac:dyDescent="0.2">
      <c r="A12" s="41">
        <v>44845</v>
      </c>
      <c r="B12" s="38"/>
      <c r="C12" s="38">
        <v>7477.2</v>
      </c>
      <c r="D12" s="38"/>
      <c r="E12" s="38"/>
      <c r="G12" s="38"/>
      <c r="H12" s="38"/>
      <c r="I12" s="37"/>
      <c r="J12" s="37">
        <f>2319+768+6635</f>
        <v>9722</v>
      </c>
      <c r="K12" s="37"/>
      <c r="L12" s="37"/>
      <c r="M12" s="37"/>
      <c r="N12" s="38"/>
      <c r="O12" s="37"/>
      <c r="P12" s="37"/>
      <c r="Q12" s="37"/>
      <c r="R12" s="96">
        <f t="shared" si="0"/>
        <v>17199.2</v>
      </c>
    </row>
    <row r="13" spans="1:19" x14ac:dyDescent="0.2">
      <c r="A13" s="40">
        <v>44877</v>
      </c>
      <c r="B13" s="38"/>
      <c r="C13" s="38"/>
      <c r="D13" s="38"/>
      <c r="E13" s="78"/>
      <c r="F13" s="38"/>
      <c r="G13" s="38"/>
      <c r="H13" s="38"/>
      <c r="I13" s="37"/>
      <c r="J13" s="37">
        <f>694+588</f>
        <v>1282</v>
      </c>
      <c r="K13" s="37"/>
      <c r="L13" s="37"/>
      <c r="M13" s="37">
        <f>2059+953</f>
        <v>3012</v>
      </c>
      <c r="N13" s="38"/>
      <c r="O13" s="38"/>
      <c r="P13" s="37"/>
      <c r="Q13" s="37"/>
      <c r="R13" s="96">
        <f t="shared" si="0"/>
        <v>4294</v>
      </c>
    </row>
    <row r="14" spans="1:19" ht="13.5" thickBot="1" x14ac:dyDescent="0.25">
      <c r="A14" s="56">
        <v>44909</v>
      </c>
      <c r="B14" s="39"/>
      <c r="C14" s="39">
        <v>7360</v>
      </c>
      <c r="D14" s="39"/>
      <c r="E14" s="39">
        <v>2475</v>
      </c>
      <c r="F14" s="39"/>
      <c r="G14" s="39"/>
      <c r="H14" s="39"/>
      <c r="I14" s="39"/>
      <c r="J14" s="39">
        <f>202+23014+29895+1912+49232</f>
        <v>104255</v>
      </c>
      <c r="K14" s="39">
        <v>164000</v>
      </c>
      <c r="L14" s="39"/>
      <c r="M14" s="39">
        <f>780+600+684+801</f>
        <v>2865</v>
      </c>
      <c r="N14" s="39"/>
      <c r="O14" s="39"/>
      <c r="P14" s="39"/>
      <c r="Q14" s="39"/>
      <c r="R14" s="103">
        <f t="shared" si="0"/>
        <v>280955</v>
      </c>
    </row>
    <row r="15" spans="1:19" ht="13.5" thickTop="1" x14ac:dyDescent="0.2">
      <c r="A15" s="40">
        <v>44941</v>
      </c>
      <c r="B15" s="37"/>
      <c r="C15" s="37"/>
      <c r="D15" s="37"/>
      <c r="E15" s="37"/>
      <c r="F15" s="37"/>
      <c r="G15" s="37"/>
      <c r="H15" s="37"/>
      <c r="I15" s="37"/>
      <c r="J15" s="37">
        <f>17133</f>
        <v>17133</v>
      </c>
      <c r="K15" s="37"/>
      <c r="L15" s="37"/>
      <c r="M15" s="37">
        <f>565+420</f>
        <v>985</v>
      </c>
      <c r="N15" s="37"/>
      <c r="O15" s="37"/>
      <c r="P15" s="37"/>
      <c r="Q15" s="37"/>
      <c r="R15" s="96">
        <f t="shared" si="0"/>
        <v>18118</v>
      </c>
    </row>
    <row r="16" spans="1:19" ht="13.5" thickBot="1" x14ac:dyDescent="0.25">
      <c r="A16" s="41">
        <v>44973</v>
      </c>
      <c r="B16" s="86"/>
      <c r="C16" s="86">
        <f>2366.69+5471+19226.58+9366</f>
        <v>36430.270000000004</v>
      </c>
      <c r="D16" s="86">
        <v>8457</v>
      </c>
      <c r="E16" s="39"/>
      <c r="F16" s="39"/>
      <c r="G16" s="39"/>
      <c r="H16" s="39"/>
      <c r="I16" s="39"/>
      <c r="J16" s="39">
        <f>12265</f>
        <v>12265</v>
      </c>
      <c r="K16" s="39"/>
      <c r="L16" s="39"/>
      <c r="M16" s="39"/>
      <c r="N16" s="39"/>
      <c r="O16" s="39"/>
      <c r="P16" s="39"/>
      <c r="Q16" s="87"/>
      <c r="R16" s="96">
        <f t="shared" si="0"/>
        <v>57152.270000000004</v>
      </c>
      <c r="S16" s="7"/>
    </row>
    <row r="17" spans="1:18" ht="14.25" thickTop="1" thickBot="1" x14ac:dyDescent="0.25">
      <c r="A17" s="17"/>
      <c r="B17" s="80">
        <f t="shared" ref="B17:Q17" si="1">SUM(B5:B16)</f>
        <v>864701</v>
      </c>
      <c r="C17" s="80">
        <f t="shared" si="1"/>
        <v>51267.47</v>
      </c>
      <c r="D17" s="80">
        <f t="shared" si="1"/>
        <v>8457</v>
      </c>
      <c r="E17" s="80">
        <f t="shared" si="1"/>
        <v>2475</v>
      </c>
      <c r="F17" s="80">
        <f t="shared" si="1"/>
        <v>9800</v>
      </c>
      <c r="G17" s="80">
        <f t="shared" si="1"/>
        <v>20914.099999999999</v>
      </c>
      <c r="H17" s="80">
        <f t="shared" si="1"/>
        <v>3800</v>
      </c>
      <c r="I17" s="80">
        <f t="shared" si="1"/>
        <v>13029</v>
      </c>
      <c r="J17" s="80">
        <f t="shared" si="1"/>
        <v>323523.8</v>
      </c>
      <c r="K17" s="80">
        <f t="shared" si="1"/>
        <v>253300</v>
      </c>
      <c r="L17" s="80">
        <f t="shared" si="1"/>
        <v>95223</v>
      </c>
      <c r="M17" s="80">
        <f t="shared" si="1"/>
        <v>9413</v>
      </c>
      <c r="N17" s="80">
        <f>SUM(N4:N16)</f>
        <v>1662.16</v>
      </c>
      <c r="O17" s="80">
        <f t="shared" si="1"/>
        <v>57400</v>
      </c>
      <c r="P17" s="80">
        <f t="shared" si="1"/>
        <v>44800</v>
      </c>
      <c r="Q17" s="80">
        <f t="shared" si="1"/>
        <v>9452</v>
      </c>
      <c r="R17" s="99">
        <f t="shared" si="0"/>
        <v>1769217.5299999998</v>
      </c>
    </row>
    <row r="18" spans="1:18" ht="13.5" thickTop="1" x14ac:dyDescent="0.2"/>
    <row r="19" spans="1:18" x14ac:dyDescent="0.2">
      <c r="A19" s="50">
        <v>1</v>
      </c>
      <c r="B19" t="s">
        <v>84</v>
      </c>
    </row>
    <row r="20" spans="1:18" x14ac:dyDescent="0.2">
      <c r="A20" s="51">
        <v>2</v>
      </c>
      <c r="B20" t="s">
        <v>64</v>
      </c>
      <c r="C20" t="s">
        <v>91</v>
      </c>
    </row>
    <row r="21" spans="1:18" x14ac:dyDescent="0.2">
      <c r="A21" s="51">
        <v>3</v>
      </c>
      <c r="B21" t="s">
        <v>82</v>
      </c>
    </row>
    <row r="22" spans="1:18" x14ac:dyDescent="0.2">
      <c r="A22" s="50">
        <v>4</v>
      </c>
      <c r="B22" t="s">
        <v>90</v>
      </c>
    </row>
    <row r="23" spans="1:18" x14ac:dyDescent="0.2">
      <c r="A23" s="51">
        <v>5</v>
      </c>
      <c r="B23" t="s">
        <v>92</v>
      </c>
    </row>
    <row r="24" spans="1:18" x14ac:dyDescent="0.2">
      <c r="A24" s="51">
        <v>6</v>
      </c>
      <c r="B24" t="s">
        <v>52</v>
      </c>
    </row>
    <row r="25" spans="1:18" x14ac:dyDescent="0.2">
      <c r="A25" s="50">
        <v>7</v>
      </c>
      <c r="B25" t="s">
        <v>58</v>
      </c>
    </row>
    <row r="26" spans="1:18" x14ac:dyDescent="0.2">
      <c r="A26" s="51">
        <v>8</v>
      </c>
      <c r="B26" t="s">
        <v>67</v>
      </c>
    </row>
    <row r="27" spans="1:18" x14ac:dyDescent="0.2">
      <c r="A27" s="51">
        <v>9</v>
      </c>
      <c r="B27" t="s">
        <v>65</v>
      </c>
    </row>
    <row r="28" spans="1:18" x14ac:dyDescent="0.2">
      <c r="A28" s="50">
        <v>10</v>
      </c>
      <c r="B28" t="s">
        <v>89</v>
      </c>
    </row>
    <row r="29" spans="1:18" x14ac:dyDescent="0.2">
      <c r="A29" s="51">
        <v>11</v>
      </c>
      <c r="B29" t="s">
        <v>88</v>
      </c>
    </row>
    <row r="30" spans="1:18" x14ac:dyDescent="0.2">
      <c r="A30" s="51">
        <v>12</v>
      </c>
      <c r="B30" t="s">
        <v>66</v>
      </c>
    </row>
    <row r="31" spans="1:18" x14ac:dyDescent="0.2">
      <c r="A31" s="50">
        <v>13</v>
      </c>
      <c r="B31" t="s">
        <v>83</v>
      </c>
    </row>
    <row r="32" spans="1:18" x14ac:dyDescent="0.2">
      <c r="A32" s="51">
        <v>14</v>
      </c>
      <c r="B32" t="s">
        <v>87</v>
      </c>
    </row>
    <row r="33" spans="1:17" x14ac:dyDescent="0.2">
      <c r="A33" s="51">
        <v>15</v>
      </c>
      <c r="B33" t="s">
        <v>86</v>
      </c>
    </row>
    <row r="34" spans="1:17" x14ac:dyDescent="0.2">
      <c r="A34" s="50">
        <v>16</v>
      </c>
      <c r="B34" t="s">
        <v>85</v>
      </c>
    </row>
    <row r="35" spans="1:17" ht="15.75" x14ac:dyDescent="0.25">
      <c r="A35" s="51"/>
      <c r="B35" s="4"/>
      <c r="C35" s="4"/>
      <c r="D35" s="2"/>
      <c r="E35" s="1"/>
      <c r="F35" s="129"/>
      <c r="G35" s="129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x14ac:dyDescent="0.2">
      <c r="A36" s="51"/>
    </row>
    <row r="37" spans="1:17" x14ac:dyDescent="0.2">
      <c r="A37" s="51"/>
    </row>
    <row r="38" spans="1:17" x14ac:dyDescent="0.2">
      <c r="A38" s="51"/>
    </row>
  </sheetData>
  <mergeCells count="2">
    <mergeCell ref="A1:R2"/>
    <mergeCell ref="F35:G3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поступл. и расх. д.с.</vt:lpstr>
      <vt:lpstr>отчет о расх д.с. </vt:lpstr>
      <vt:lpstr>разное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</cp:lastModifiedBy>
  <cp:lastPrinted>2023-03-20T07:44:42Z</cp:lastPrinted>
  <dcterms:created xsi:type="dcterms:W3CDTF">2012-03-24T14:03:21Z</dcterms:created>
  <dcterms:modified xsi:type="dcterms:W3CDTF">2023-03-22T07:28:49Z</dcterms:modified>
</cp:coreProperties>
</file>